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820" yWindow="380" windowWidth="21220" windowHeight="11980" firstSheet="2" activeTab="5"/>
  </bookViews>
  <sheets>
    <sheet name="Financial Report " sheetId="1" r:id="rId1"/>
    <sheet name="TPA - targets" sheetId="2" r:id="rId2"/>
    <sheet name="TPA - estimates ADE" sheetId="3" r:id="rId3"/>
    <sheet name="Classroom instructors" sheetId="4" r:id="rId4"/>
    <sheet name="Other Salaries" sheetId="5" r:id="rId5"/>
    <sheet name="Other expenses" sheetId="6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hRJndWFHvn52tcSSOySZwzpUd5XQ=="/>
    </ext>
  </extLst>
</workbook>
</file>

<file path=xl/calcChain.xml><?xml version="1.0" encoding="utf-8"?>
<calcChain xmlns="http://schemas.openxmlformats.org/spreadsheetml/2006/main">
  <c r="E13" i="6" l="1"/>
  <c r="E11" i="6"/>
  <c r="E8" i="6"/>
  <c r="E7" i="6"/>
  <c r="D31" i="5"/>
  <c r="C31" i="5"/>
  <c r="D21" i="5"/>
  <c r="C21" i="5"/>
  <c r="E14" i="5"/>
  <c r="G14" i="5"/>
  <c r="J10" i="5"/>
  <c r="E9" i="5"/>
  <c r="G9" i="5"/>
  <c r="H9" i="5"/>
  <c r="E8" i="5"/>
  <c r="G8" i="5"/>
  <c r="H8" i="5"/>
  <c r="E7" i="5"/>
  <c r="G7" i="5"/>
  <c r="H7" i="5"/>
  <c r="B2" i="5"/>
  <c r="B1" i="5"/>
  <c r="G42" i="4"/>
  <c r="C42" i="4"/>
  <c r="P32" i="4"/>
  <c r="O32" i="4"/>
  <c r="N32" i="4"/>
  <c r="V32" i="4"/>
  <c r="V31" i="4"/>
  <c r="P31" i="4"/>
  <c r="O31" i="4"/>
  <c r="Q31" i="4"/>
  <c r="S31" i="4"/>
  <c r="B31" i="4"/>
  <c r="J31" i="4"/>
  <c r="D31" i="4"/>
  <c r="C31" i="4"/>
  <c r="V30" i="4"/>
  <c r="P30" i="4"/>
  <c r="O30" i="4"/>
  <c r="D30" i="4"/>
  <c r="C30" i="4"/>
  <c r="B30" i="4"/>
  <c r="J30" i="4"/>
  <c r="N29" i="4"/>
  <c r="V29" i="4"/>
  <c r="P29" i="4"/>
  <c r="O29" i="4"/>
  <c r="D29" i="4"/>
  <c r="C29" i="4"/>
  <c r="B29" i="4"/>
  <c r="B32" i="4"/>
  <c r="P25" i="4"/>
  <c r="O25" i="4"/>
  <c r="N25" i="4"/>
  <c r="N26" i="4"/>
  <c r="V24" i="4"/>
  <c r="P24" i="4"/>
  <c r="O24" i="4"/>
  <c r="Q24" i="4"/>
  <c r="S24" i="4"/>
  <c r="V23" i="4"/>
  <c r="P23" i="4"/>
  <c r="O23" i="4"/>
  <c r="Q23" i="4"/>
  <c r="S23" i="4"/>
  <c r="V22" i="4"/>
  <c r="P22" i="4"/>
  <c r="O22" i="4"/>
  <c r="Q22" i="4"/>
  <c r="S22" i="4"/>
  <c r="B22" i="4"/>
  <c r="C22" i="4"/>
  <c r="D22" i="4"/>
  <c r="E22" i="4"/>
  <c r="G22" i="4"/>
  <c r="J22" i="4"/>
  <c r="V21" i="4"/>
  <c r="P21" i="4"/>
  <c r="O21" i="4"/>
  <c r="Q21" i="4"/>
  <c r="S21" i="4"/>
  <c r="B21" i="4"/>
  <c r="J21" i="4"/>
  <c r="D21" i="4"/>
  <c r="C21" i="4"/>
  <c r="V20" i="4"/>
  <c r="P20" i="4"/>
  <c r="D20" i="4"/>
  <c r="C20" i="4"/>
  <c r="B20" i="4"/>
  <c r="J20" i="4"/>
  <c r="V19" i="4"/>
  <c r="P19" i="4"/>
  <c r="D19" i="4"/>
  <c r="B19" i="4"/>
  <c r="V14" i="4"/>
  <c r="P14" i="4"/>
  <c r="O14" i="4"/>
  <c r="Q14" i="4"/>
  <c r="S14" i="4"/>
  <c r="V13" i="4"/>
  <c r="O13" i="4"/>
  <c r="P13" i="4"/>
  <c r="Q13" i="4"/>
  <c r="S13" i="4"/>
  <c r="D13" i="4"/>
  <c r="C13" i="4"/>
  <c r="B13" i="4"/>
  <c r="J13" i="4"/>
  <c r="N12" i="4"/>
  <c r="V12" i="4"/>
  <c r="P12" i="4"/>
  <c r="O12" i="4"/>
  <c r="D12" i="4"/>
  <c r="C12" i="4"/>
  <c r="B12" i="4"/>
  <c r="J12" i="4"/>
  <c r="V11" i="4"/>
  <c r="P11" i="4"/>
  <c r="O11" i="4"/>
  <c r="D11" i="4"/>
  <c r="C11" i="4"/>
  <c r="B11" i="4"/>
  <c r="J11" i="4"/>
  <c r="V10" i="4"/>
  <c r="P10" i="4"/>
  <c r="O10" i="4"/>
  <c r="D10" i="4"/>
  <c r="C10" i="4"/>
  <c r="B10" i="4"/>
  <c r="J10" i="4"/>
  <c r="P9" i="4"/>
  <c r="O9" i="4"/>
  <c r="N9" i="4"/>
  <c r="V9" i="4"/>
  <c r="D9" i="4"/>
  <c r="C9" i="4"/>
  <c r="B9" i="4"/>
  <c r="J9" i="4"/>
  <c r="V8" i="4"/>
  <c r="P8" i="4"/>
  <c r="O8" i="4"/>
  <c r="Q8" i="4"/>
  <c r="S8" i="4"/>
  <c r="B8" i="4"/>
  <c r="J8" i="4"/>
  <c r="C8" i="4"/>
  <c r="D8" i="4"/>
  <c r="E8" i="4"/>
  <c r="G8" i="4"/>
  <c r="V7" i="4"/>
  <c r="P7" i="4"/>
  <c r="O7" i="4"/>
  <c r="Q7" i="4"/>
  <c r="S7" i="4"/>
  <c r="B7" i="4"/>
  <c r="J7" i="4"/>
  <c r="D7" i="4"/>
  <c r="V6" i="4"/>
  <c r="P6" i="4"/>
  <c r="O6" i="4"/>
  <c r="Q6" i="4"/>
  <c r="S6" i="4"/>
  <c r="V5" i="4"/>
  <c r="P5" i="4"/>
  <c r="O5" i="4"/>
  <c r="P4" i="4"/>
  <c r="N4" i="4"/>
  <c r="V4" i="4"/>
  <c r="B2" i="4"/>
  <c r="B1" i="4"/>
  <c r="D54" i="3"/>
  <c r="C54" i="3"/>
  <c r="B54" i="3"/>
  <c r="C51" i="3"/>
  <c r="C52" i="3"/>
  <c r="D51" i="3"/>
  <c r="D52" i="3"/>
  <c r="B51" i="3"/>
  <c r="B52" i="3"/>
  <c r="B42" i="3"/>
  <c r="J17" i="1"/>
  <c r="J18" i="1"/>
  <c r="J19" i="1"/>
  <c r="J20" i="1"/>
  <c r="J28" i="1"/>
  <c r="D29" i="3"/>
  <c r="B29" i="3"/>
  <c r="K28" i="3"/>
  <c r="G28" i="3"/>
  <c r="E28" i="3"/>
  <c r="H28" i="3"/>
  <c r="K27" i="3"/>
  <c r="G27" i="3"/>
  <c r="E27" i="3"/>
  <c r="H27" i="3"/>
  <c r="K26" i="3"/>
  <c r="G26" i="3"/>
  <c r="E26" i="3"/>
  <c r="H26" i="3"/>
  <c r="D22" i="3"/>
  <c r="G21" i="3"/>
  <c r="E21" i="3"/>
  <c r="H21" i="3"/>
  <c r="K20" i="3"/>
  <c r="G20" i="3"/>
  <c r="E20" i="3"/>
  <c r="H20" i="3"/>
  <c r="K19" i="3"/>
  <c r="G19" i="3"/>
  <c r="E19" i="3"/>
  <c r="H19" i="3"/>
  <c r="K18" i="3"/>
  <c r="G18" i="3"/>
  <c r="B18" i="3"/>
  <c r="O20" i="4"/>
  <c r="Q20" i="4"/>
  <c r="S20" i="4"/>
  <c r="D13" i="3"/>
  <c r="G12" i="3"/>
  <c r="E12" i="3"/>
  <c r="H12" i="3"/>
  <c r="E11" i="3"/>
  <c r="H11" i="3"/>
  <c r="G11" i="3"/>
  <c r="G10" i="3"/>
  <c r="E10" i="3"/>
  <c r="H10" i="3"/>
  <c r="G9" i="3"/>
  <c r="E9" i="3"/>
  <c r="H9" i="3"/>
  <c r="K8" i="3"/>
  <c r="B34" i="3"/>
  <c r="B12" i="2"/>
  <c r="G8" i="3"/>
  <c r="E8" i="3"/>
  <c r="H8" i="3"/>
  <c r="K7" i="3"/>
  <c r="G7" i="3"/>
  <c r="E7" i="3"/>
  <c r="H7" i="3"/>
  <c r="K6" i="3"/>
  <c r="B32" i="3"/>
  <c r="G6" i="3"/>
  <c r="B6" i="3"/>
  <c r="B13" i="3"/>
  <c r="B2" i="3"/>
  <c r="B1" i="3"/>
  <c r="B6" i="2"/>
  <c r="J66" i="1"/>
  <c r="J55" i="1"/>
  <c r="J57" i="1"/>
  <c r="J50" i="1"/>
  <c r="J49" i="1"/>
  <c r="J48" i="1"/>
  <c r="J47" i="1"/>
  <c r="J46" i="1"/>
  <c r="K39" i="1"/>
  <c r="J39" i="1"/>
  <c r="K38" i="1"/>
  <c r="J38" i="1"/>
  <c r="K37" i="1"/>
  <c r="J37" i="1"/>
  <c r="K36" i="1"/>
  <c r="J36" i="1"/>
  <c r="K35" i="1"/>
  <c r="K34" i="1"/>
  <c r="I17" i="1"/>
  <c r="H29" i="3"/>
  <c r="E29" i="3"/>
  <c r="E12" i="4"/>
  <c r="G12" i="4"/>
  <c r="E13" i="4"/>
  <c r="G13" i="4"/>
  <c r="E29" i="4"/>
  <c r="G29" i="4"/>
  <c r="E30" i="4"/>
  <c r="G30" i="4"/>
  <c r="H30" i="4"/>
  <c r="I30" i="4"/>
  <c r="E31" i="4"/>
  <c r="G31" i="4"/>
  <c r="Q32" i="4"/>
  <c r="S32" i="4"/>
  <c r="T32" i="4"/>
  <c r="U32" i="4"/>
  <c r="B23" i="4"/>
  <c r="J29" i="4"/>
  <c r="J32" i="4"/>
  <c r="G29" i="3"/>
  <c r="N33" i="4"/>
  <c r="B33" i="3"/>
  <c r="B11" i="2"/>
  <c r="G22" i="3"/>
  <c r="V15" i="4"/>
  <c r="B14" i="4"/>
  <c r="B43" i="4"/>
  <c r="Q11" i="4"/>
  <c r="S11" i="4"/>
  <c r="Q12" i="4"/>
  <c r="S12" i="4"/>
  <c r="O19" i="4"/>
  <c r="Q19" i="4"/>
  <c r="Q29" i="4"/>
  <c r="Q30" i="4"/>
  <c r="S30" i="4"/>
  <c r="J53" i="1"/>
  <c r="G13" i="3"/>
  <c r="B40" i="3"/>
  <c r="B7" i="2"/>
  <c r="E21" i="4"/>
  <c r="G21" i="4"/>
  <c r="H21" i="4"/>
  <c r="I21" i="4"/>
  <c r="V33" i="4"/>
  <c r="Q5" i="4"/>
  <c r="S5" i="4"/>
  <c r="J14" i="4"/>
  <c r="Q10" i="4"/>
  <c r="S10" i="4"/>
  <c r="T20" i="4"/>
  <c r="U20" i="4"/>
  <c r="T14" i="4"/>
  <c r="U14" i="4"/>
  <c r="H22" i="4"/>
  <c r="I22" i="4"/>
  <c r="T22" i="4"/>
  <c r="U22" i="4"/>
  <c r="T11" i="4"/>
  <c r="U11" i="4"/>
  <c r="H12" i="4"/>
  <c r="I12" i="4"/>
  <c r="T12" i="4"/>
  <c r="U12" i="4"/>
  <c r="H13" i="4"/>
  <c r="I13" i="4"/>
  <c r="S19" i="4"/>
  <c r="S29" i="4"/>
  <c r="T30" i="4"/>
  <c r="U30" i="4"/>
  <c r="H31" i="4"/>
  <c r="I31" i="4"/>
  <c r="T31" i="4"/>
  <c r="U31" i="4"/>
  <c r="B10" i="2"/>
  <c r="T6" i="4"/>
  <c r="U6" i="4"/>
  <c r="T7" i="4"/>
  <c r="U7" i="4"/>
  <c r="T13" i="4"/>
  <c r="U13" i="4"/>
  <c r="T5" i="4"/>
  <c r="U5" i="4"/>
  <c r="H8" i="4"/>
  <c r="I8" i="4"/>
  <c r="T10" i="4"/>
  <c r="U10" i="4"/>
  <c r="T21" i="4"/>
  <c r="U21" i="4"/>
  <c r="T23" i="4"/>
  <c r="U23" i="4"/>
  <c r="T24" i="4"/>
  <c r="U24" i="4"/>
  <c r="H14" i="5"/>
  <c r="I14" i="5"/>
  <c r="J35" i="1"/>
  <c r="L60" i="1"/>
  <c r="B22" i="3"/>
  <c r="O4" i="4"/>
  <c r="T8" i="4"/>
  <c r="U8" i="4"/>
  <c r="C19" i="4"/>
  <c r="E19" i="4"/>
  <c r="I7" i="5"/>
  <c r="I8" i="5"/>
  <c r="I9" i="5"/>
  <c r="I10" i="5"/>
  <c r="L64" i="1"/>
  <c r="E18" i="3"/>
  <c r="E11" i="4"/>
  <c r="G11" i="4"/>
  <c r="N15" i="4"/>
  <c r="F43" i="4"/>
  <c r="E20" i="4"/>
  <c r="G20" i="4"/>
  <c r="Q4" i="4"/>
  <c r="C7" i="4"/>
  <c r="E7" i="4"/>
  <c r="E9" i="4"/>
  <c r="G9" i="4"/>
  <c r="Q9" i="4"/>
  <c r="S9" i="4"/>
  <c r="E10" i="4"/>
  <c r="G10" i="4"/>
  <c r="J19" i="4"/>
  <c r="J23" i="4"/>
  <c r="B42" i="4"/>
  <c r="K33" i="1"/>
  <c r="K43" i="1"/>
  <c r="Q25" i="4"/>
  <c r="S25" i="4"/>
  <c r="V25" i="4"/>
  <c r="V26" i="4"/>
  <c r="F42" i="4"/>
  <c r="E6" i="3"/>
  <c r="Q33" i="4"/>
  <c r="B35" i="3"/>
  <c r="B9" i="2"/>
  <c r="E32" i="4"/>
  <c r="H10" i="4"/>
  <c r="I10" i="4"/>
  <c r="T25" i="4"/>
  <c r="U25" i="4"/>
  <c r="T9" i="4"/>
  <c r="U9" i="4"/>
  <c r="H20" i="4"/>
  <c r="I20" i="4"/>
  <c r="H29" i="4"/>
  <c r="H32" i="4"/>
  <c r="G32" i="4"/>
  <c r="H18" i="3"/>
  <c r="H22" i="3"/>
  <c r="E22" i="3"/>
  <c r="H9" i="4"/>
  <c r="I9" i="4"/>
  <c r="S33" i="4"/>
  <c r="T29" i="4"/>
  <c r="T33" i="4"/>
  <c r="Q26" i="4"/>
  <c r="S4" i="4"/>
  <c r="Q15" i="4"/>
  <c r="F44" i="4"/>
  <c r="E13" i="3"/>
  <c r="H6" i="3"/>
  <c r="H13" i="3"/>
  <c r="B37" i="3"/>
  <c r="B38" i="3"/>
  <c r="G19" i="4"/>
  <c r="E23" i="4"/>
  <c r="E14" i="4"/>
  <c r="G7" i="4"/>
  <c r="H11" i="4"/>
  <c r="I11" i="4"/>
  <c r="T19" i="4"/>
  <c r="T26" i="4"/>
  <c r="S26" i="4"/>
  <c r="B34" i="5"/>
  <c r="J34" i="1"/>
  <c r="I29" i="4"/>
  <c r="I32" i="4"/>
  <c r="U29" i="4"/>
  <c r="U33" i="4"/>
  <c r="U19" i="4"/>
  <c r="U26" i="4"/>
  <c r="G23" i="4"/>
  <c r="H19" i="4"/>
  <c r="H23" i="4"/>
  <c r="S15" i="4"/>
  <c r="T4" i="4"/>
  <c r="T15" i="4"/>
  <c r="L17" i="1"/>
  <c r="B39" i="3"/>
  <c r="M17" i="1"/>
  <c r="B37" i="5"/>
  <c r="B36" i="5"/>
  <c r="B35" i="5"/>
  <c r="B38" i="5"/>
  <c r="G14" i="4"/>
  <c r="H7" i="4"/>
  <c r="H14" i="4"/>
  <c r="B44" i="4"/>
  <c r="B36" i="3"/>
  <c r="B8" i="2"/>
  <c r="I7" i="4"/>
  <c r="I14" i="4"/>
  <c r="I19" i="4"/>
  <c r="I23" i="4"/>
  <c r="B36" i="4"/>
  <c r="U4" i="4"/>
  <c r="U15" i="4"/>
  <c r="F36" i="4"/>
  <c r="B38" i="4"/>
  <c r="J41" i="1"/>
  <c r="B37" i="4"/>
  <c r="B39" i="4"/>
  <c r="J42" i="1"/>
  <c r="C36" i="4"/>
  <c r="C37" i="4"/>
  <c r="C40" i="4"/>
  <c r="F39" i="4"/>
  <c r="G36" i="4"/>
  <c r="G37" i="4"/>
  <c r="G40" i="4"/>
  <c r="F37" i="4"/>
  <c r="F38" i="4"/>
  <c r="F40" i="4"/>
  <c r="J33" i="1"/>
  <c r="B40" i="4"/>
  <c r="J40" i="1"/>
  <c r="J43" i="1"/>
  <c r="J71" i="1"/>
  <c r="J73" i="1"/>
</calcChain>
</file>

<file path=xl/sharedStrings.xml><?xml version="1.0" encoding="utf-8"?>
<sst xmlns="http://schemas.openxmlformats.org/spreadsheetml/2006/main" count="337" uniqueCount="182">
  <si>
    <t>School Board</t>
  </si>
  <si>
    <t>PROGRAM DELIVERY FINANCIAL REPORT</t>
  </si>
  <si>
    <t>Fake School Board</t>
  </si>
  <si>
    <t>19-20</t>
  </si>
  <si>
    <t>1.    Average Daily Enrolment (ADE) units</t>
  </si>
  <si>
    <t>2019/20 School Year</t>
  </si>
  <si>
    <t>2.    Total number of unique Learners</t>
  </si>
  <si>
    <t>3.    Total number of instructional hours</t>
  </si>
  <si>
    <t xml:space="preserve">4.    Total number of courses </t>
  </si>
  <si>
    <t>4.1) ESL/FSL Literacy courses</t>
  </si>
  <si>
    <t>4.2) CLB Level 1-4</t>
  </si>
  <si>
    <t>4.3) CLB Level 5-8</t>
  </si>
  <si>
    <t>Central</t>
  </si>
  <si>
    <t>4.4) Employment-related language training courses (specialized language training courses)</t>
  </si>
  <si>
    <t xml:space="preserve">4.5) Other (specify):  </t>
  </si>
  <si>
    <t>ADULT NON-CREDIT LANGUAGE TRAINING</t>
  </si>
  <si>
    <t>Days</t>
  </si>
  <si>
    <t>Hours / class</t>
  </si>
  <si>
    <t># of classes</t>
  </si>
  <si>
    <t>Name of School Board:</t>
  </si>
  <si>
    <t>instructional hours</t>
  </si>
  <si>
    <t>Avg Class size</t>
  </si>
  <si>
    <t>Est number of unique learners</t>
  </si>
  <si>
    <t>Pupil hours</t>
  </si>
  <si>
    <t>Full Day (L)</t>
  </si>
  <si>
    <t>Grant Funding Financial Report</t>
  </si>
  <si>
    <t>School board contact name / phone number (completing the report):</t>
  </si>
  <si>
    <r>
      <t xml:space="preserve">(based </t>
    </r>
    <r>
      <rPr>
        <sz val="14"/>
        <rFont val="Calibri"/>
      </rPr>
      <t>on Final Actuals)</t>
    </r>
  </si>
  <si>
    <t>Scenario 2</t>
  </si>
  <si>
    <t>Number of instructors</t>
  </si>
  <si>
    <t>Level L</t>
  </si>
  <si>
    <t>Full Day (1-4)</t>
  </si>
  <si>
    <t>Level (1-4)</t>
  </si>
  <si>
    <t>Full Day (5-8)</t>
  </si>
  <si>
    <t>Reporting Period:</t>
  </si>
  <si>
    <t>Level (5-8)</t>
  </si>
  <si>
    <t>Evening (L)</t>
  </si>
  <si>
    <t>Evening (1-4)</t>
  </si>
  <si>
    <t>Evening (5-8)</t>
  </si>
  <si>
    <t>Instructor hours</t>
  </si>
  <si>
    <t>Est Rate</t>
  </si>
  <si>
    <t>Saturday (1-4)</t>
  </si>
  <si>
    <t>Date completed:</t>
  </si>
  <si>
    <t>Gross Pay</t>
  </si>
  <si>
    <t>VP - 4%</t>
  </si>
  <si>
    <t>Total Pay</t>
  </si>
  <si>
    <t>FTE</t>
  </si>
  <si>
    <t>Full Day (L) - R1</t>
  </si>
  <si>
    <t xml:space="preserve">General Notes: </t>
  </si>
  <si>
    <t>Grant funding and expenditures reported should be limited to MCCSS's Adult Non-Credit Language Training Program.</t>
  </si>
  <si>
    <r>
      <t xml:space="preserve">Please complete cells highlighted in </t>
    </r>
    <r>
      <rPr>
        <b/>
        <sz val="10"/>
        <rFont val="Arial"/>
      </rPr>
      <t>blue</t>
    </r>
    <r>
      <rPr>
        <sz val="10"/>
        <rFont val="Arial"/>
      </rPr>
      <t xml:space="preserve"> only.  You can insert additional rows to list revenue and expenditure items. </t>
    </r>
  </si>
  <si>
    <t>West</t>
  </si>
  <si>
    <t>Full Day (1-4) - R1</t>
  </si>
  <si>
    <t>Additional space has been provided at the bottom for more detailed information (where needed) on your school board's revenue and expenditure lines.</t>
  </si>
  <si>
    <t>TOTAL REVENUE</t>
  </si>
  <si>
    <t>Full Day (1-4) - R2</t>
  </si>
  <si>
    <t>TPA - estimates ADE</t>
  </si>
  <si>
    <t>Total Actual ADE and Equivalent Funding</t>
  </si>
  <si>
    <t>East</t>
  </si>
  <si>
    <t>Projected ADE</t>
  </si>
  <si>
    <t>Equivalent Funding</t>
  </si>
  <si>
    <t>Full Day (5-8) - R1</t>
  </si>
  <si>
    <t>ESL</t>
  </si>
  <si>
    <t>Full Day (5-8) - R2</t>
  </si>
  <si>
    <t>Level Literacy</t>
  </si>
  <si>
    <t>Level 1-4</t>
  </si>
  <si>
    <t>Level 5-8</t>
  </si>
  <si>
    <t>Total Number of Classes</t>
  </si>
  <si>
    <t>FSL</t>
  </si>
  <si>
    <t>Instructional Hours</t>
  </si>
  <si>
    <t>Total Pupil hours</t>
  </si>
  <si>
    <t>ADE</t>
  </si>
  <si>
    <t>Grant earned</t>
  </si>
  <si>
    <t>Unique learners</t>
  </si>
  <si>
    <t>Maximum ADE</t>
  </si>
  <si>
    <t>Evening (L) - R2</t>
  </si>
  <si>
    <t>Maximum Grant</t>
  </si>
  <si>
    <t>Scenario 1</t>
  </si>
  <si>
    <t>SLT Courses Entered into the X-Portal (if applicable)</t>
  </si>
  <si>
    <t>Scenario 3</t>
  </si>
  <si>
    <t>Day - L</t>
  </si>
  <si>
    <t>Day</t>
  </si>
  <si>
    <t>Evening - L</t>
  </si>
  <si>
    <t>Evening</t>
  </si>
  <si>
    <t>Saturday</t>
  </si>
  <si>
    <t>Evening (1-4) - R1</t>
  </si>
  <si>
    <t xml:space="preserve">Learner Fees Surplus (if any) </t>
  </si>
  <si>
    <t>Evening (1-4) - R2</t>
  </si>
  <si>
    <t>Interest Income</t>
  </si>
  <si>
    <t>Evening (5-8) - R2</t>
  </si>
  <si>
    <t>Classroom Assistants- Mentoring</t>
  </si>
  <si>
    <t>Other revenues (specify)</t>
  </si>
  <si>
    <t>Number of Assistants</t>
  </si>
  <si>
    <t>Saturday (1-4) - R1</t>
  </si>
  <si>
    <t>Sep to Nov</t>
  </si>
  <si>
    <t>Saturday (1-4) - R2</t>
  </si>
  <si>
    <t>Dec to Mar</t>
  </si>
  <si>
    <t>TOTAL AVAILABLE FUNDING</t>
  </si>
  <si>
    <t>Apr to June</t>
  </si>
  <si>
    <t>Total Classroom Assistants - mentoring</t>
  </si>
  <si>
    <t>PBLA - leads</t>
  </si>
  <si>
    <t>Lead</t>
  </si>
  <si>
    <t>EXPENDITURES INCURRED</t>
  </si>
  <si>
    <t>Full Day (L) - R2</t>
  </si>
  <si>
    <t>Program Clerical and support staff</t>
  </si>
  <si>
    <t>Number of positions</t>
  </si>
  <si>
    <t>ESL allocation</t>
  </si>
  <si>
    <t>Harts Entry</t>
  </si>
  <si>
    <t>STAFFING (salaries, etc.)</t>
  </si>
  <si>
    <t xml:space="preserve">Classroom instructors </t>
  </si>
  <si>
    <t>Receptionist</t>
  </si>
  <si>
    <t>Total Program Clerical and support staff</t>
  </si>
  <si>
    <t>Other Staff positions</t>
  </si>
  <si>
    <t>ESL Coordinator</t>
  </si>
  <si>
    <t>Classroom assistants - mentoring</t>
  </si>
  <si>
    <t>ESL Guidance</t>
  </si>
  <si>
    <t>ESL Principal</t>
  </si>
  <si>
    <t>PBLA leads</t>
  </si>
  <si>
    <t>Guidance Counsellors</t>
  </si>
  <si>
    <t>Program clerical and support staff</t>
  </si>
  <si>
    <t>Program managers / coordinators</t>
  </si>
  <si>
    <t>MERCs @ 9.22%</t>
  </si>
  <si>
    <t>Principal</t>
  </si>
  <si>
    <t>Benefits - medical dental - 4.5%</t>
  </si>
  <si>
    <t>MERCS - Mandatory Employment Rerlated Costs - CPP, EI, EHT</t>
  </si>
  <si>
    <t>Pension - 6%</t>
  </si>
  <si>
    <t>Total Benefits</t>
  </si>
  <si>
    <t>Health benefits</t>
  </si>
  <si>
    <t>Pension - OMERS</t>
  </si>
  <si>
    <t>Total Staffing costs</t>
  </si>
  <si>
    <t>Classroom / learner expenses</t>
  </si>
  <si>
    <t>Board classroom operations and maintenance (accommodation)</t>
  </si>
  <si>
    <t>Non-board owned (external) classroom rental and maintenance</t>
  </si>
  <si>
    <t>Printing and copying - internal</t>
  </si>
  <si>
    <t>Textbooks &amp; Classroom supplies</t>
  </si>
  <si>
    <t>Marketing</t>
  </si>
  <si>
    <t>Rent</t>
  </si>
  <si>
    <t>Cost per room per month</t>
  </si>
  <si>
    <t>Number of rooms</t>
  </si>
  <si>
    <t>Months</t>
  </si>
  <si>
    <t>Total Cost</t>
  </si>
  <si>
    <t>Internal -  Central 4 classrooms - used daily, including evenings, includes all costs such as custodial services, heat, light, repairs, supplies etc</t>
  </si>
  <si>
    <t>Total Classroom / Learner expenses</t>
  </si>
  <si>
    <t>External - West, East</t>
  </si>
  <si>
    <t>Professional development / training</t>
  </si>
  <si>
    <t>Printing</t>
  </si>
  <si>
    <t>Cost per class
per month</t>
  </si>
  <si>
    <t>number of months</t>
  </si>
  <si>
    <t>Number of classes</t>
  </si>
  <si>
    <t>Total cost</t>
  </si>
  <si>
    <t>Instructors - external attendance at conferences, other training</t>
  </si>
  <si>
    <t>Per class photocopying</t>
  </si>
  <si>
    <t>Textbooks and supplies</t>
  </si>
  <si>
    <t>Professional Development</t>
  </si>
  <si>
    <t>Instructors/PBLA leads/ESL Coordinator - external attendance at conferences, other training</t>
  </si>
  <si>
    <t>Total professional development and training</t>
  </si>
  <si>
    <t>PBLA-related expenses (~1-2%)</t>
  </si>
  <si>
    <t>Maximum - 2%</t>
  </si>
  <si>
    <t>Single pay rate</t>
  </si>
  <si>
    <t>Multiple pay rates</t>
  </si>
  <si>
    <t>Instructors</t>
  </si>
  <si>
    <t>Replcmnt</t>
  </si>
  <si>
    <t>General School Board administration</t>
  </si>
  <si>
    <t>IT / helpdesk costs (supporting program administration and support staff)</t>
  </si>
  <si>
    <t>Maximum - 15%</t>
  </si>
  <si>
    <t>Accounting services</t>
  </si>
  <si>
    <t>HR employee services</t>
  </si>
  <si>
    <t>Total General School Board administration</t>
  </si>
  <si>
    <t>Total FTE</t>
  </si>
  <si>
    <t>Other Expenditures (specify):</t>
  </si>
  <si>
    <t>Instructors hours</t>
  </si>
  <si>
    <t>TOTAL FINAL EXPENDITURES</t>
  </si>
  <si>
    <t>NET PROGRAM SURPLUS (DEFICIT)</t>
  </si>
  <si>
    <t>Notes related to financial figures provided:</t>
  </si>
  <si>
    <t>School Board Representative (Signing Authority responsible for content provided in this report)</t>
  </si>
  <si>
    <t>Name</t>
  </si>
  <si>
    <t>Title</t>
  </si>
  <si>
    <t>Email</t>
  </si>
  <si>
    <t>Telephone</t>
  </si>
  <si>
    <t>Authorization Name</t>
  </si>
  <si>
    <t>Authorization Date</t>
  </si>
  <si>
    <t>I confirm that the information contained in this document is true, accurate and complete. This authorization is in lieu of a signature.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</si>
</sst>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[Red]\-&quot;$&quot;#,##0"/>
    <numFmt numFmtId="165" formatCode="_-* #,##0.00_-;\-* #,##0.00_-;_-* &quot;-&quot;??_-;_-@"/>
    <numFmt numFmtId="166" formatCode="&quot;$&quot;#,##0.00"/>
    <numFmt numFmtId="167" formatCode="&quot;$&quot;#,##0"/>
    <numFmt numFmtId="168" formatCode="0.0%"/>
    <numFmt numFmtId="169" formatCode="_(* #,##0_);_(* \(#,##0\);_(* &quot;-&quot;??_);_(@_)"/>
    <numFmt numFmtId="170" formatCode="_-&quot;$&quot;* #,##0_-;\-&quot;$&quot;* #,##0_-;_-&quot;$&quot;* &quot;-&quot;??_-;_-@"/>
    <numFmt numFmtId="171" formatCode="_-&quot;$&quot;* #,##0.00_-;\-&quot;$&quot;* #,##0.00_-;_-&quot;$&quot;* &quot;-&quot;??_-;_-@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color rgb="FF006100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Arial"/>
    </font>
    <font>
      <b/>
      <sz val="14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sz val="14"/>
      <color theme="1"/>
      <name val="Calibri"/>
    </font>
    <font>
      <sz val="11"/>
      <color rgb="FF006100"/>
      <name val="Arial"/>
    </font>
    <font>
      <sz val="10"/>
      <color theme="1"/>
      <name val="Arial"/>
    </font>
    <font>
      <b/>
      <sz val="11"/>
      <color theme="1"/>
      <name val="Calibri"/>
    </font>
    <font>
      <sz val="12"/>
      <color theme="1"/>
      <name val="Arial"/>
    </font>
    <font>
      <sz val="12"/>
      <color theme="1"/>
      <name val="Calibri"/>
    </font>
    <font>
      <sz val="14"/>
      <color theme="1"/>
      <name val="Arial"/>
    </font>
    <font>
      <b/>
      <sz val="10"/>
      <color theme="1"/>
      <name val="Calibri"/>
    </font>
    <font>
      <sz val="10"/>
      <color rgb="FF006100"/>
      <name val="Calibri"/>
    </font>
    <font>
      <b/>
      <sz val="11"/>
      <color rgb="FF3F3F3F"/>
      <name val="Calibri"/>
    </font>
    <font>
      <u/>
      <sz val="11"/>
      <color theme="10"/>
      <name val="Calibri"/>
    </font>
    <font>
      <sz val="14"/>
      <name val="Calibri"/>
    </font>
    <font>
      <b/>
      <sz val="10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BE4D5"/>
        <bgColor rgb="FFFBE4D5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969696"/>
        <bgColor rgb="FF969696"/>
      </patternFill>
    </fill>
  </fills>
  <borders count="7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4" xfId="0" applyFont="1" applyFill="1" applyBorder="1"/>
    <xf numFmtId="43" fontId="5" fillId="0" borderId="0" xfId="0" applyNumberFormat="1" applyFont="1"/>
    <xf numFmtId="0" fontId="5" fillId="0" borderId="0" xfId="0" applyFont="1"/>
    <xf numFmtId="43" fontId="1" fillId="0" borderId="0" xfId="0" applyNumberFormat="1" applyFont="1"/>
    <xf numFmtId="0" fontId="3" fillId="0" borderId="4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4" borderId="4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right" vertical="top" wrapText="1"/>
    </xf>
    <xf numFmtId="43" fontId="8" fillId="4" borderId="4" xfId="0" applyNumberFormat="1" applyFont="1" applyFill="1" applyBorder="1" applyAlignment="1">
      <alignment horizontal="right" vertical="top" wrapText="1"/>
    </xf>
    <xf numFmtId="49" fontId="10" fillId="5" borderId="7" xfId="0" applyNumberFormat="1" applyFont="1" applyFill="1" applyBorder="1" applyAlignment="1">
      <alignment wrapText="1"/>
    </xf>
    <xf numFmtId="0" fontId="8" fillId="0" borderId="0" xfId="0" applyFont="1"/>
    <xf numFmtId="2" fontId="3" fillId="2" borderId="4" xfId="0" applyNumberFormat="1" applyFont="1" applyFill="1" applyBorder="1"/>
    <xf numFmtId="0" fontId="5" fillId="5" borderId="7" xfId="0" applyFont="1" applyFill="1" applyBorder="1"/>
    <xf numFmtId="0" fontId="5" fillId="0" borderId="4" xfId="0" applyFont="1" applyBorder="1"/>
    <xf numFmtId="0" fontId="11" fillId="0" borderId="0" xfId="0" applyFont="1" applyAlignment="1">
      <alignment horizontal="center" vertical="center"/>
    </xf>
    <xf numFmtId="0" fontId="12" fillId="2" borderId="4" xfId="0" applyFont="1" applyFill="1" applyBorder="1" applyAlignment="1"/>
    <xf numFmtId="0" fontId="5" fillId="0" borderId="2" xfId="0" applyFont="1" applyBorder="1" applyAlignment="1">
      <alignment horizontal="center"/>
    </xf>
    <xf numFmtId="0" fontId="5" fillId="5" borderId="4" xfId="0" applyFont="1" applyFill="1" applyBorder="1"/>
    <xf numFmtId="0" fontId="5" fillId="0" borderId="3" xfId="0" applyFont="1" applyBorder="1" applyAlignment="1">
      <alignment horizontal="center"/>
    </xf>
    <xf numFmtId="43" fontId="5" fillId="0" borderId="4" xfId="0" applyNumberFormat="1" applyFont="1" applyBorder="1"/>
    <xf numFmtId="0" fontId="5" fillId="6" borderId="4" xfId="0" applyFont="1" applyFill="1" applyBorder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5" fillId="6" borderId="4" xfId="0" applyFont="1" applyFill="1" applyBorder="1" applyAlignment="1">
      <alignment horizontal="right"/>
    </xf>
    <xf numFmtId="0" fontId="9" fillId="0" borderId="12" xfId="0" applyFont="1" applyBorder="1" applyAlignment="1">
      <alignment horizontal="right" vertical="center" wrapText="1"/>
    </xf>
    <xf numFmtId="43" fontId="5" fillId="6" borderId="4" xfId="0" applyNumberFormat="1" applyFont="1" applyFill="1" applyBorder="1" applyAlignment="1">
      <alignment horizontal="right" wrapText="1"/>
    </xf>
    <xf numFmtId="15" fontId="5" fillId="5" borderId="4" xfId="0" applyNumberFormat="1" applyFont="1" applyFill="1" applyBorder="1" applyAlignment="1">
      <alignment horizontal="left"/>
    </xf>
    <xf numFmtId="165" fontId="5" fillId="6" borderId="4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0" fontId="9" fillId="0" borderId="0" xfId="0" applyFont="1"/>
    <xf numFmtId="0" fontId="5" fillId="0" borderId="2" xfId="0" applyFont="1" applyBorder="1"/>
    <xf numFmtId="0" fontId="9" fillId="0" borderId="0" xfId="0" applyFont="1" applyAlignment="1">
      <alignment horizontal="right"/>
    </xf>
    <xf numFmtId="2" fontId="5" fillId="0" borderId="4" xfId="0" applyNumberFormat="1" applyFont="1" applyBorder="1"/>
    <xf numFmtId="43" fontId="5" fillId="0" borderId="2" xfId="0" applyNumberFormat="1" applyFont="1" applyBorder="1"/>
    <xf numFmtId="0" fontId="13" fillId="3" borderId="13" xfId="0" applyFont="1" applyFill="1" applyBorder="1"/>
    <xf numFmtId="165" fontId="5" fillId="0" borderId="4" xfId="0" applyNumberFormat="1" applyFont="1" applyBorder="1"/>
    <xf numFmtId="0" fontId="5" fillId="3" borderId="13" xfId="0" applyFont="1" applyFill="1" applyBorder="1"/>
    <xf numFmtId="43" fontId="8" fillId="0" borderId="0" xfId="0" applyNumberFormat="1" applyFont="1"/>
    <xf numFmtId="0" fontId="13" fillId="0" borderId="0" xfId="0" applyFont="1"/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/>
    <xf numFmtId="0" fontId="5" fillId="0" borderId="18" xfId="0" applyFont="1" applyBorder="1"/>
    <xf numFmtId="0" fontId="15" fillId="3" borderId="21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0" fontId="14" fillId="3" borderId="22" xfId="0" applyFont="1" applyFill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0" fontId="15" fillId="3" borderId="27" xfId="0" applyFont="1" applyFill="1" applyBorder="1"/>
    <xf numFmtId="0" fontId="0" fillId="3" borderId="28" xfId="0" applyFont="1" applyFill="1" applyBorder="1"/>
    <xf numFmtId="0" fontId="5" fillId="3" borderId="29" xfId="0" applyFont="1" applyFill="1" applyBorder="1"/>
    <xf numFmtId="4" fontId="5" fillId="5" borderId="30" xfId="0" applyNumberFormat="1" applyFont="1" applyFill="1" applyBorder="1" applyAlignment="1">
      <alignment horizontal="center" vertical="center"/>
    </xf>
    <xf numFmtId="4" fontId="5" fillId="7" borderId="31" xfId="0" applyNumberFormat="1" applyFont="1" applyFill="1" applyBorder="1" applyAlignment="1">
      <alignment horizontal="right"/>
    </xf>
    <xf numFmtId="0" fontId="0" fillId="3" borderId="32" xfId="0" applyFont="1" applyFill="1" applyBorder="1"/>
    <xf numFmtId="4" fontId="5" fillId="5" borderId="4" xfId="0" applyNumberFormat="1" applyFont="1" applyFill="1" applyBorder="1" applyAlignment="1">
      <alignment horizontal="center" vertical="center"/>
    </xf>
    <xf numFmtId="4" fontId="5" fillId="7" borderId="33" xfId="0" applyNumberFormat="1" applyFont="1" applyFill="1" applyBorder="1" applyAlignment="1">
      <alignment horizontal="right"/>
    </xf>
    <xf numFmtId="43" fontId="3" fillId="2" borderId="4" xfId="0" applyNumberFormat="1" applyFont="1" applyFill="1" applyBorder="1"/>
    <xf numFmtId="0" fontId="15" fillId="3" borderId="34" xfId="0" applyFont="1" applyFill="1" applyBorder="1"/>
    <xf numFmtId="0" fontId="5" fillId="0" borderId="0" xfId="0" applyFont="1" applyAlignment="1">
      <alignment horizontal="right"/>
    </xf>
    <xf numFmtId="0" fontId="5" fillId="3" borderId="35" xfId="0" applyFont="1" applyFill="1" applyBorder="1"/>
    <xf numFmtId="0" fontId="15" fillId="3" borderId="36" xfId="0" applyFont="1" applyFill="1" applyBorder="1"/>
    <xf numFmtId="0" fontId="16" fillId="3" borderId="37" xfId="0" applyFont="1" applyFill="1" applyBorder="1"/>
    <xf numFmtId="0" fontId="16" fillId="3" borderId="38" xfId="0" applyFont="1" applyFill="1" applyBorder="1"/>
    <xf numFmtId="4" fontId="6" fillId="7" borderId="42" xfId="0" applyNumberFormat="1" applyFont="1" applyFill="1" applyBorder="1" applyAlignment="1">
      <alignment horizontal="right"/>
    </xf>
    <xf numFmtId="0" fontId="16" fillId="0" borderId="0" xfId="0" applyFont="1"/>
    <xf numFmtId="4" fontId="16" fillId="0" borderId="0" xfId="0" applyNumberFormat="1" applyFont="1"/>
    <xf numFmtId="0" fontId="15" fillId="0" borderId="34" xfId="0" applyFont="1" applyBorder="1"/>
    <xf numFmtId="0" fontId="5" fillId="0" borderId="1" xfId="0" applyFont="1" applyBorder="1"/>
    <xf numFmtId="0" fontId="5" fillId="0" borderId="3" xfId="0" applyFont="1" applyBorder="1"/>
    <xf numFmtId="166" fontId="5" fillId="5" borderId="33" xfId="0" applyNumberFormat="1" applyFont="1" applyFill="1" applyBorder="1"/>
    <xf numFmtId="0" fontId="15" fillId="0" borderId="43" xfId="0" applyFont="1" applyBorder="1"/>
    <xf numFmtId="0" fontId="15" fillId="0" borderId="2" xfId="0" applyFont="1" applyBorder="1"/>
    <xf numFmtId="0" fontId="5" fillId="0" borderId="2" xfId="0" applyFont="1" applyBorder="1" applyAlignment="1">
      <alignment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right" vertical="top"/>
    </xf>
    <xf numFmtId="0" fontId="5" fillId="0" borderId="44" xfId="0" applyFont="1" applyBorder="1"/>
    <xf numFmtId="43" fontId="5" fillId="6" borderId="4" xfId="0" applyNumberFormat="1" applyFont="1" applyFill="1" applyBorder="1" applyAlignment="1">
      <alignment horizontal="right" vertical="top" wrapText="1"/>
    </xf>
    <xf numFmtId="0" fontId="15" fillId="0" borderId="45" xfId="0" applyFont="1" applyBorder="1" applyAlignment="1">
      <alignment horizontal="left" wrapText="1"/>
    </xf>
    <xf numFmtId="165" fontId="5" fillId="6" borderId="4" xfId="0" applyNumberFormat="1" applyFont="1" applyFill="1" applyBorder="1" applyAlignment="1">
      <alignment horizontal="right" vertical="top" wrapText="1"/>
    </xf>
    <xf numFmtId="0" fontId="15" fillId="0" borderId="44" xfId="0" applyFont="1" applyBorder="1" applyAlignment="1">
      <alignment horizontal="left" wrapText="1"/>
    </xf>
    <xf numFmtId="165" fontId="5" fillId="0" borderId="2" xfId="0" applyNumberFormat="1" applyFont="1" applyBorder="1"/>
    <xf numFmtId="0" fontId="8" fillId="0" borderId="4" xfId="0" applyFont="1" applyBorder="1"/>
    <xf numFmtId="0" fontId="5" fillId="0" borderId="45" xfId="0" applyFont="1" applyBorder="1"/>
    <xf numFmtId="0" fontId="5" fillId="0" borderId="8" xfId="0" applyFont="1" applyBorder="1"/>
    <xf numFmtId="0" fontId="5" fillId="0" borderId="46" xfId="0" applyFont="1" applyBorder="1"/>
    <xf numFmtId="165" fontId="8" fillId="0" borderId="4" xfId="0" applyNumberFormat="1" applyFont="1" applyBorder="1"/>
    <xf numFmtId="0" fontId="17" fillId="0" borderId="47" xfId="0" applyFont="1" applyBorder="1"/>
    <xf numFmtId="0" fontId="7" fillId="0" borderId="10" xfId="0" applyFont="1" applyBorder="1"/>
    <xf numFmtId="0" fontId="7" fillId="0" borderId="48" xfId="0" applyFont="1" applyBorder="1"/>
    <xf numFmtId="0" fontId="7" fillId="7" borderId="29" xfId="0" applyFont="1" applyFill="1" applyBorder="1" applyAlignment="1">
      <alignment horizontal="left"/>
    </xf>
    <xf numFmtId="43" fontId="18" fillId="0" borderId="52" xfId="0" applyNumberFormat="1" applyFont="1" applyBorder="1"/>
    <xf numFmtId="167" fontId="7" fillId="7" borderId="53" xfId="0" applyNumberFormat="1" applyFont="1" applyFill="1" applyBorder="1"/>
    <xf numFmtId="0" fontId="17" fillId="0" borderId="0" xfId="0" applyFont="1"/>
    <xf numFmtId="43" fontId="18" fillId="0" borderId="0" xfId="0" applyNumberFormat="1" applyFont="1"/>
    <xf numFmtId="0" fontId="5" fillId="0" borderId="54" xfId="0" applyFont="1" applyBorder="1"/>
    <xf numFmtId="0" fontId="5" fillId="0" borderId="48" xfId="0" applyFont="1" applyBorder="1"/>
    <xf numFmtId="0" fontId="5" fillId="0" borderId="55" xfId="0" applyFont="1" applyBorder="1"/>
    <xf numFmtId="0" fontId="7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" fontId="8" fillId="0" borderId="0" xfId="0" applyNumberFormat="1" applyFont="1"/>
    <xf numFmtId="2" fontId="8" fillId="0" borderId="4" xfId="0" applyNumberFormat="1" applyFont="1" applyBorder="1"/>
    <xf numFmtId="165" fontId="8" fillId="0" borderId="0" xfId="0" applyNumberFormat="1" applyFont="1"/>
    <xf numFmtId="168" fontId="8" fillId="0" borderId="0" xfId="0" applyNumberFormat="1" applyFont="1"/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19" fillId="2" borderId="4" xfId="0" applyFont="1" applyFill="1" applyBorder="1"/>
    <xf numFmtId="0" fontId="6" fillId="0" borderId="43" xfId="0" applyFont="1" applyBorder="1"/>
    <xf numFmtId="166" fontId="5" fillId="0" borderId="58" xfId="0" applyNumberFormat="1" applyFont="1" applyBorder="1"/>
    <xf numFmtId="167" fontId="7" fillId="7" borderId="53" xfId="0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6" fillId="0" borderId="17" xfId="0" applyFont="1" applyBorder="1"/>
    <xf numFmtId="3" fontId="5" fillId="0" borderId="4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/>
    <xf numFmtId="165" fontId="5" fillId="5" borderId="33" xfId="0" applyNumberFormat="1" applyFont="1" applyFill="1" applyBorder="1"/>
    <xf numFmtId="3" fontId="5" fillId="0" borderId="0" xfId="0" applyNumberFormat="1" applyFont="1" applyAlignment="1">
      <alignment vertical="center" wrapText="1"/>
    </xf>
    <xf numFmtId="169" fontId="18" fillId="0" borderId="52" xfId="0" applyNumberFormat="1" applyFont="1" applyBorder="1"/>
    <xf numFmtId="165" fontId="5" fillId="0" borderId="62" xfId="0" applyNumberFormat="1" applyFont="1" applyBorder="1"/>
    <xf numFmtId="0" fontId="8" fillId="0" borderId="0" xfId="0" applyFont="1" applyAlignment="1">
      <alignment wrapText="1"/>
    </xf>
    <xf numFmtId="165" fontId="5" fillId="0" borderId="0" xfId="0" applyNumberFormat="1" applyFont="1" applyAlignment="1">
      <alignment vertical="top"/>
    </xf>
    <xf numFmtId="0" fontId="14" fillId="0" borderId="0" xfId="0" applyFont="1"/>
    <xf numFmtId="166" fontId="14" fillId="5" borderId="33" xfId="0" applyNumberFormat="1" applyFont="1" applyFill="1" applyBorder="1"/>
    <xf numFmtId="165" fontId="14" fillId="5" borderId="33" xfId="0" applyNumberFormat="1" applyFont="1" applyFill="1" applyBorder="1"/>
    <xf numFmtId="0" fontId="5" fillId="0" borderId="0" xfId="0" applyFont="1" applyAlignment="1">
      <alignment horizontal="right" vertical="center" wrapText="1"/>
    </xf>
    <xf numFmtId="170" fontId="5" fillId="0" borderId="0" xfId="0" applyNumberFormat="1" applyFont="1" applyAlignment="1">
      <alignment vertical="center" wrapText="1"/>
    </xf>
    <xf numFmtId="170" fontId="5" fillId="0" borderId="0" xfId="0" applyNumberFormat="1" applyFont="1"/>
    <xf numFmtId="170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170" fontId="5" fillId="0" borderId="0" xfId="0" applyNumberFormat="1" applyFont="1" applyAlignment="1">
      <alignment wrapText="1"/>
    </xf>
    <xf numFmtId="166" fontId="5" fillId="0" borderId="33" xfId="0" applyNumberFormat="1" applyFont="1" applyBorder="1"/>
    <xf numFmtId="171" fontId="16" fillId="5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165" fontId="8" fillId="0" borderId="62" xfId="0" applyNumberFormat="1" applyFont="1" applyBorder="1"/>
    <xf numFmtId="165" fontId="8" fillId="0" borderId="0" xfId="0" applyNumberFormat="1" applyFont="1" applyAlignment="1">
      <alignment vertical="top"/>
    </xf>
    <xf numFmtId="0" fontId="20" fillId="8" borderId="63" xfId="0" applyFont="1" applyFill="1" applyBorder="1"/>
    <xf numFmtId="165" fontId="20" fillId="8" borderId="63" xfId="0" applyNumberFormat="1" applyFont="1" applyFill="1" applyBorder="1"/>
    <xf numFmtId="0" fontId="5" fillId="0" borderId="56" xfId="0" applyFont="1" applyBorder="1"/>
    <xf numFmtId="0" fontId="5" fillId="0" borderId="47" xfId="0" applyFont="1" applyBorder="1"/>
    <xf numFmtId="0" fontId="5" fillId="0" borderId="10" xfId="0" applyFont="1" applyBorder="1"/>
    <xf numFmtId="0" fontId="7" fillId="7" borderId="28" xfId="0" applyFont="1" applyFill="1" applyBorder="1"/>
    <xf numFmtId="0" fontId="9" fillId="7" borderId="29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left"/>
    </xf>
    <xf numFmtId="167" fontId="17" fillId="7" borderId="53" xfId="0" applyNumberFormat="1" applyFont="1" applyFill="1" applyBorder="1"/>
    <xf numFmtId="164" fontId="7" fillId="7" borderId="66" xfId="0" applyNumberFormat="1" applyFont="1" applyFill="1" applyBorder="1"/>
    <xf numFmtId="0" fontId="9" fillId="0" borderId="67" xfId="0" applyFont="1" applyBorder="1"/>
    <xf numFmtId="0" fontId="13" fillId="0" borderId="68" xfId="0" applyFont="1" applyBorder="1"/>
    <xf numFmtId="0" fontId="13" fillId="0" borderId="69" xfId="0" applyFont="1" applyBorder="1"/>
    <xf numFmtId="0" fontId="13" fillId="0" borderId="34" xfId="0" applyFont="1" applyBorder="1"/>
    <xf numFmtId="0" fontId="13" fillId="0" borderId="36" xfId="0" applyFont="1" applyBorder="1"/>
    <xf numFmtId="0" fontId="13" fillId="0" borderId="0" xfId="0" applyFont="1" applyAlignment="1">
      <alignment horizontal="left" wrapText="1"/>
    </xf>
    <xf numFmtId="0" fontId="6" fillId="9" borderId="13" xfId="0" applyFont="1" applyFill="1" applyBorder="1"/>
    <xf numFmtId="0" fontId="5" fillId="9" borderId="13" xfId="0" applyFont="1" applyFill="1" applyBorder="1"/>
    <xf numFmtId="0" fontId="9" fillId="9" borderId="13" xfId="0" applyFont="1" applyFill="1" applyBorder="1"/>
    <xf numFmtId="0" fontId="6" fillId="9" borderId="13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/>
    </xf>
    <xf numFmtId="0" fontId="14" fillId="9" borderId="13" xfId="0" applyFont="1" applyFill="1" applyBorder="1" applyAlignment="1">
      <alignment horizontal="center" vertical="center" wrapText="1"/>
    </xf>
    <xf numFmtId="15" fontId="5" fillId="5" borderId="3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5" fillId="5" borderId="59" xfId="0" applyFont="1" applyFill="1" applyBorder="1" applyAlignment="1">
      <alignment horizontal="left" wrapText="1"/>
    </xf>
    <xf numFmtId="0" fontId="4" fillId="0" borderId="60" xfId="0" applyFont="1" applyBorder="1"/>
    <xf numFmtId="0" fontId="4" fillId="0" borderId="61" xfId="0" applyFont="1" applyBorder="1"/>
    <xf numFmtId="0" fontId="6" fillId="5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9" fillId="0" borderId="8" xfId="0" applyFont="1" applyBorder="1" applyAlignment="1">
      <alignment horizontal="right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4" fillId="3" borderId="14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9" xfId="0" applyFont="1" applyBorder="1"/>
    <xf numFmtId="0" fontId="4" fillId="0" borderId="20" xfId="0" applyFont="1" applyBorder="1"/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5" fillId="5" borderId="1" xfId="0" applyFont="1" applyFill="1" applyBorder="1" applyAlignment="1">
      <alignment horizontal="left" wrapText="1"/>
    </xf>
    <xf numFmtId="0" fontId="6" fillId="7" borderId="39" xfId="0" applyFont="1" applyFill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7" fillId="7" borderId="49" xfId="0" applyFont="1" applyFill="1" applyBorder="1" applyAlignment="1">
      <alignment horizontal="center"/>
    </xf>
    <xf numFmtId="0" fontId="4" fillId="0" borderId="50" xfId="0" applyFont="1" applyBorder="1"/>
    <xf numFmtId="0" fontId="4" fillId="0" borderId="51" xfId="0" applyFont="1" applyBorder="1"/>
    <xf numFmtId="0" fontId="0" fillId="5" borderId="59" xfId="0" applyFont="1" applyFill="1" applyBorder="1" applyAlignment="1">
      <alignment horizontal="left" vertical="top" wrapText="1"/>
    </xf>
    <xf numFmtId="0" fontId="15" fillId="5" borderId="43" xfId="0" applyFont="1" applyFill="1" applyBorder="1" applyAlignment="1">
      <alignment horizontal="left" wrapText="1"/>
    </xf>
    <xf numFmtId="0" fontId="7" fillId="0" borderId="64" xfId="0" applyFont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4" fillId="0" borderId="58" xfId="0" applyFont="1" applyBorder="1"/>
    <xf numFmtId="0" fontId="6" fillId="3" borderId="5" xfId="0" applyFont="1" applyFill="1" applyBorder="1" applyAlignment="1">
      <alignment horizontal="right"/>
    </xf>
    <xf numFmtId="0" fontId="4" fillId="0" borderId="6" xfId="0" applyFont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15" fillId="0" borderId="43" xfId="0" applyFont="1" applyBorder="1" applyAlignment="1">
      <alignment horizontal="left" wrapText="1"/>
    </xf>
    <xf numFmtId="0" fontId="15" fillId="5" borderId="70" xfId="0" applyFont="1" applyFill="1" applyBorder="1" applyAlignment="1">
      <alignment wrapText="1"/>
    </xf>
    <xf numFmtId="0" fontId="4" fillId="0" borderId="71" xfId="0" applyFont="1" applyBorder="1"/>
    <xf numFmtId="167" fontId="21" fillId="5" borderId="1" xfId="0" applyNumberFormat="1" applyFont="1" applyFill="1" applyBorder="1" applyAlignment="1">
      <alignment horizontal="center" wrapText="1"/>
    </xf>
    <xf numFmtId="0" fontId="4" fillId="0" borderId="72" xfId="0" applyFont="1" applyBorder="1"/>
    <xf numFmtId="167" fontId="5" fillId="5" borderId="1" xfId="0" applyNumberFormat="1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4" fillId="0" borderId="65" xfId="0" applyFont="1" applyBorder="1"/>
    <xf numFmtId="0" fontId="15" fillId="5" borderId="59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5" Type="http://schemas.openxmlformats.org/officeDocument/2006/relationships/customXml" Target="../customXml/item1.xml"/><Relationship Id="rId16" Type="http://schemas.openxmlformats.org/officeDocument/2006/relationships/customXml" Target="../customXml/item2.xml"/><Relationship Id="rId1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opLeftCell="A52" workbookViewId="0"/>
  </sheetViews>
  <sheetFormatPr baseColWidth="10" defaultColWidth="12.5703125" defaultRowHeight="15" customHeight="1" x14ac:dyDescent="0"/>
  <cols>
    <col min="1" max="1" width="2.85546875" customWidth="1"/>
    <col min="2" max="6" width="9.42578125" customWidth="1"/>
    <col min="7" max="7" width="15" customWidth="1"/>
    <col min="8" max="8" width="19.140625" customWidth="1"/>
    <col min="9" max="9" width="16.42578125" customWidth="1"/>
    <col min="10" max="10" width="23.5703125" customWidth="1"/>
    <col min="11" max="11" width="7.5703125" customWidth="1"/>
    <col min="12" max="13" width="16.140625" customWidth="1"/>
    <col min="14" max="26" width="7.5703125" customWidth="1"/>
  </cols>
  <sheetData>
    <row r="1" spans="1:26" ht="18">
      <c r="A1" s="2" t="s">
        <v>1</v>
      </c>
      <c r="B1" s="5"/>
      <c r="C1" s="5"/>
      <c r="D1" s="5"/>
      <c r="E1" s="5"/>
      <c r="F1" s="5"/>
      <c r="G1" s="5"/>
      <c r="H1" s="5"/>
      <c r="I1" s="199" t="s">
        <v>5</v>
      </c>
      <c r="J1" s="200"/>
    </row>
    <row r="2" spans="1:26" ht="17">
      <c r="A2" s="9" t="s">
        <v>15</v>
      </c>
      <c r="B2" s="5"/>
      <c r="C2" s="5"/>
      <c r="D2" s="5"/>
      <c r="E2" s="5"/>
      <c r="F2" s="5"/>
      <c r="G2" s="5"/>
      <c r="H2" s="201"/>
      <c r="I2" s="186"/>
      <c r="J2" s="11"/>
    </row>
    <row r="3" spans="1:26" ht="9" customHeight="1">
      <c r="A3" s="9"/>
      <c r="B3" s="5"/>
      <c r="C3" s="5"/>
      <c r="D3" s="5"/>
      <c r="E3" s="5"/>
      <c r="F3" s="5"/>
      <c r="G3" s="5"/>
      <c r="H3" s="5"/>
      <c r="I3" s="5"/>
      <c r="J3" s="5"/>
    </row>
    <row r="4" spans="1:26" ht="30" customHeight="1">
      <c r="A4" s="9"/>
      <c r="B4" s="5"/>
      <c r="C4" s="5"/>
      <c r="D4" s="5"/>
      <c r="E4" s="5"/>
      <c r="F4" s="5"/>
      <c r="G4" s="5"/>
      <c r="H4" s="202" t="s">
        <v>19</v>
      </c>
      <c r="I4" s="176"/>
      <c r="J4" s="14" t="s">
        <v>2</v>
      </c>
    </row>
    <row r="5" spans="1:26" ht="24" customHeight="1">
      <c r="A5" s="9" t="s">
        <v>25</v>
      </c>
      <c r="B5" s="5"/>
      <c r="C5" s="5"/>
      <c r="D5" s="5"/>
      <c r="E5" s="5"/>
      <c r="F5" s="5"/>
      <c r="G5" s="5"/>
      <c r="H5" s="177" t="s">
        <v>26</v>
      </c>
      <c r="I5" s="178"/>
      <c r="J5" s="17"/>
    </row>
    <row r="6" spans="1:26" ht="24" customHeight="1">
      <c r="A6" s="9"/>
      <c r="B6" s="185" t="s">
        <v>27</v>
      </c>
      <c r="C6" s="186"/>
      <c r="D6" s="186"/>
      <c r="E6" s="186"/>
      <c r="F6" s="186"/>
      <c r="G6" s="5"/>
      <c r="H6" s="179"/>
      <c r="I6" s="180"/>
      <c r="J6" s="22"/>
    </row>
    <row r="7" spans="1:26" ht="24" customHeight="1">
      <c r="A7" s="9"/>
      <c r="B7" s="19"/>
      <c r="C7" s="19"/>
      <c r="D7" s="19"/>
      <c r="E7" s="19"/>
      <c r="F7" s="19"/>
      <c r="G7" s="5"/>
      <c r="H7" s="26"/>
      <c r="I7" s="28" t="s">
        <v>34</v>
      </c>
      <c r="J7" s="30"/>
    </row>
    <row r="8" spans="1:26" ht="21" customHeight="1">
      <c r="A8" s="9"/>
      <c r="B8" s="5"/>
      <c r="C8" s="5"/>
      <c r="D8" s="5"/>
      <c r="E8" s="5"/>
      <c r="F8" s="5"/>
      <c r="G8" s="5"/>
      <c r="I8" s="32" t="s">
        <v>42</v>
      </c>
      <c r="J8" s="30"/>
    </row>
    <row r="9" spans="1:26" ht="14.25" customHeight="1">
      <c r="A9" s="33" t="s">
        <v>48</v>
      </c>
      <c r="C9" s="5"/>
      <c r="D9" s="5"/>
      <c r="E9" s="5"/>
      <c r="F9" s="5"/>
      <c r="G9" s="5"/>
      <c r="I9" s="35"/>
      <c r="J9" s="35"/>
    </row>
    <row r="10" spans="1:26" ht="14.25" customHeight="1">
      <c r="A10" s="38" t="s">
        <v>49</v>
      </c>
      <c r="B10" s="40"/>
      <c r="C10" s="5"/>
      <c r="D10" s="5"/>
      <c r="E10" s="5"/>
      <c r="F10" s="5"/>
      <c r="G10" s="5"/>
      <c r="I10" s="35"/>
      <c r="J10" s="35"/>
    </row>
    <row r="11" spans="1:26" ht="17.25" customHeight="1">
      <c r="A11" s="42" t="s">
        <v>50</v>
      </c>
      <c r="C11" s="5"/>
      <c r="D11" s="5"/>
      <c r="E11" s="5"/>
      <c r="F11" s="5"/>
      <c r="G11" s="5"/>
      <c r="I11" s="35"/>
      <c r="J11" s="35"/>
    </row>
    <row r="12" spans="1:26" ht="14.25" customHeight="1">
      <c r="A12" s="40" t="s">
        <v>53</v>
      </c>
      <c r="C12" s="5"/>
      <c r="D12" s="5"/>
      <c r="E12" s="5"/>
      <c r="F12" s="5"/>
      <c r="G12" s="5"/>
      <c r="I12" s="35"/>
      <c r="J12" s="35"/>
    </row>
    <row r="13" spans="1:26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26" ht="30" customHeight="1">
      <c r="A14" s="43" t="s">
        <v>54</v>
      </c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181" t="s">
        <v>56</v>
      </c>
      <c r="M14" s="182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6" customHeight="1">
      <c r="A15" s="47"/>
      <c r="B15" s="5"/>
      <c r="C15" s="5"/>
      <c r="D15" s="5"/>
      <c r="E15" s="5"/>
      <c r="F15" s="5"/>
      <c r="G15" s="5"/>
      <c r="H15" s="5"/>
      <c r="I15" s="5"/>
      <c r="J15" s="48"/>
      <c r="L15" s="183"/>
      <c r="M15" s="184"/>
    </row>
    <row r="16" spans="1:26" ht="19.5" customHeight="1">
      <c r="A16" s="49" t="s">
        <v>57</v>
      </c>
      <c r="B16" s="50"/>
      <c r="C16" s="51"/>
      <c r="D16" s="52"/>
      <c r="E16" s="52"/>
      <c r="F16" s="52"/>
      <c r="G16" s="52"/>
      <c r="H16" s="52"/>
      <c r="I16" s="53" t="s">
        <v>59</v>
      </c>
      <c r="J16" s="54" t="s">
        <v>60</v>
      </c>
      <c r="L16" s="55" t="s">
        <v>59</v>
      </c>
      <c r="M16" s="56" t="s">
        <v>60</v>
      </c>
    </row>
    <row r="17" spans="1:26" ht="19.5" customHeight="1">
      <c r="A17" s="57"/>
      <c r="B17" s="58" t="s">
        <v>62</v>
      </c>
      <c r="C17" s="59"/>
      <c r="D17" s="59"/>
      <c r="E17" s="59"/>
      <c r="F17" s="59"/>
      <c r="G17" s="59"/>
      <c r="H17" s="59"/>
      <c r="I17" s="60">
        <f>+'TPA - estimates ADE'!B41</f>
        <v>310</v>
      </c>
      <c r="J17" s="61">
        <f>+'TPA - estimates ADE'!B42</f>
        <v>1082210</v>
      </c>
      <c r="L17" s="60">
        <f>+'TPA - estimates ADE'!B38</f>
        <v>332.96842105263158</v>
      </c>
      <c r="M17" s="61">
        <f>+'TPA - estimates ADE'!B39</f>
        <v>1162392.7578947369</v>
      </c>
    </row>
    <row r="18" spans="1:26" ht="19.5" customHeight="1">
      <c r="A18" s="57"/>
      <c r="B18" s="62" t="s">
        <v>68</v>
      </c>
      <c r="C18" s="59"/>
      <c r="D18" s="59"/>
      <c r="E18" s="59"/>
      <c r="F18" s="59"/>
      <c r="G18" s="59"/>
      <c r="H18" s="59"/>
      <c r="I18" s="63"/>
      <c r="J18" s="64">
        <f>I18*3462</f>
        <v>0</v>
      </c>
    </row>
    <row r="19" spans="1:26" ht="19.5" customHeight="1">
      <c r="A19" s="66"/>
      <c r="B19" s="62" t="s">
        <v>78</v>
      </c>
      <c r="C19" s="68"/>
      <c r="D19" s="68"/>
      <c r="E19" s="68"/>
      <c r="F19" s="68"/>
      <c r="G19" s="68"/>
      <c r="H19" s="68"/>
      <c r="I19" s="63"/>
      <c r="J19" s="64">
        <f>I19*1.65*3462</f>
        <v>0</v>
      </c>
    </row>
    <row r="20" spans="1:26" ht="19.5" customHeight="1">
      <c r="A20" s="69"/>
      <c r="B20" s="70"/>
      <c r="C20" s="71"/>
      <c r="D20" s="71"/>
      <c r="E20" s="71"/>
      <c r="F20" s="71"/>
      <c r="G20" s="188" t="s">
        <v>57</v>
      </c>
      <c r="H20" s="189"/>
      <c r="I20" s="190"/>
      <c r="J20" s="72">
        <f>SUM(J17:J19)</f>
        <v>1082210</v>
      </c>
      <c r="K20" s="73"/>
      <c r="L20" s="74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9.5" customHeight="1">
      <c r="A21" s="75" t="s">
        <v>86</v>
      </c>
      <c r="B21" s="76"/>
      <c r="C21" s="34"/>
      <c r="D21" s="34"/>
      <c r="E21" s="34"/>
      <c r="F21" s="34"/>
      <c r="G21" s="34"/>
      <c r="H21" s="34"/>
      <c r="I21" s="77"/>
      <c r="J21" s="78">
        <v>0</v>
      </c>
    </row>
    <row r="22" spans="1:26" ht="19.5" customHeight="1">
      <c r="A22" s="75" t="s">
        <v>88</v>
      </c>
      <c r="B22" s="76"/>
      <c r="C22" s="34"/>
      <c r="D22" s="34"/>
      <c r="E22" s="34"/>
      <c r="F22" s="34"/>
      <c r="G22" s="34"/>
      <c r="H22" s="34"/>
      <c r="I22" s="34"/>
      <c r="J22" s="78">
        <v>0</v>
      </c>
    </row>
    <row r="23" spans="1:26" ht="7.5" customHeight="1">
      <c r="A23" s="79"/>
      <c r="B23" s="80"/>
      <c r="C23" s="80"/>
      <c r="D23" s="34"/>
      <c r="E23" s="81"/>
      <c r="F23" s="81"/>
      <c r="G23" s="81"/>
      <c r="H23" s="34"/>
      <c r="I23" s="34"/>
      <c r="J23" s="78"/>
    </row>
    <row r="24" spans="1:26" ht="19.5" customHeight="1">
      <c r="A24" s="203" t="s">
        <v>91</v>
      </c>
      <c r="B24" s="175"/>
      <c r="C24" s="175"/>
      <c r="D24" s="175"/>
      <c r="E24" s="187"/>
      <c r="F24" s="175"/>
      <c r="G24" s="175"/>
      <c r="H24" s="176"/>
      <c r="I24" s="85"/>
      <c r="J24" s="78">
        <v>0</v>
      </c>
    </row>
    <row r="25" spans="1:26" ht="19.5" customHeight="1">
      <c r="A25" s="87"/>
      <c r="B25" s="89"/>
      <c r="C25" s="89"/>
      <c r="D25" s="89"/>
      <c r="E25" s="187"/>
      <c r="F25" s="175"/>
      <c r="G25" s="175"/>
      <c r="H25" s="176"/>
      <c r="I25" s="85"/>
      <c r="J25" s="78"/>
    </row>
    <row r="26" spans="1:26" ht="19.5" customHeight="1">
      <c r="A26" s="87"/>
      <c r="B26" s="89"/>
      <c r="C26" s="89"/>
      <c r="D26" s="89"/>
      <c r="E26" s="187"/>
      <c r="F26" s="175"/>
      <c r="G26" s="175"/>
      <c r="H26" s="176"/>
      <c r="I26" s="85"/>
      <c r="J26" s="78"/>
    </row>
    <row r="27" spans="1:26" ht="6" customHeight="1">
      <c r="A27" s="92"/>
      <c r="B27" s="93"/>
      <c r="C27" s="85"/>
      <c r="D27" s="85"/>
      <c r="E27" s="85"/>
      <c r="F27" s="85"/>
      <c r="G27" s="85"/>
      <c r="H27" s="85"/>
      <c r="I27" s="85"/>
      <c r="J27" s="94"/>
    </row>
    <row r="28" spans="1:26" ht="25.5" customHeight="1">
      <c r="A28" s="96"/>
      <c r="B28" s="97"/>
      <c r="C28" s="98"/>
      <c r="D28" s="98"/>
      <c r="E28" s="98"/>
      <c r="F28" s="191" t="s">
        <v>97</v>
      </c>
      <c r="G28" s="192"/>
      <c r="H28" s="193"/>
      <c r="I28" s="99"/>
      <c r="J28" s="101">
        <f>SUM(J20:J27)</f>
        <v>1082210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7.5" customHeight="1">
      <c r="A29" s="104"/>
      <c r="B29" s="105"/>
      <c r="C29" s="105"/>
      <c r="D29" s="5"/>
      <c r="E29" s="5"/>
      <c r="F29" s="5"/>
      <c r="G29" s="105"/>
      <c r="H29" s="105"/>
      <c r="I29" s="105"/>
      <c r="J29" s="106"/>
    </row>
    <row r="30" spans="1:26" ht="30" customHeight="1">
      <c r="A30" s="107" t="s">
        <v>102</v>
      </c>
      <c r="B30" s="108"/>
      <c r="C30" s="109"/>
      <c r="D30" s="114"/>
      <c r="E30" s="114"/>
      <c r="F30" s="114"/>
      <c r="G30" s="114"/>
      <c r="H30" s="114"/>
      <c r="I30" s="114"/>
      <c r="J30" s="11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5.2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6"/>
    </row>
    <row r="32" spans="1:26" ht="19.5" customHeight="1">
      <c r="A32" s="118" t="s">
        <v>108</v>
      </c>
      <c r="B32" s="105"/>
      <c r="C32" s="105"/>
      <c r="D32" s="105"/>
      <c r="E32" s="105"/>
      <c r="F32" s="105"/>
      <c r="G32" s="34"/>
      <c r="H32" s="34"/>
      <c r="I32" s="34"/>
      <c r="J32" s="119"/>
      <c r="K32" s="120" t="s">
        <v>46</v>
      </c>
    </row>
    <row r="33" spans="1:11" ht="19.5" customHeight="1">
      <c r="A33" s="122"/>
      <c r="B33" s="171" t="s">
        <v>109</v>
      </c>
      <c r="C33" s="172"/>
      <c r="D33" s="172"/>
      <c r="E33" s="172"/>
      <c r="F33" s="172"/>
      <c r="G33" s="173"/>
      <c r="H33" s="5"/>
      <c r="I33" s="5"/>
      <c r="J33" s="78">
        <f>+'Classroom instructors'!B36+'Classroom instructors'!C36</f>
        <v>482724.44999999995</v>
      </c>
      <c r="K33" s="126">
        <f>+'Classroom instructors'!B42</f>
        <v>26.400000000000002</v>
      </c>
    </row>
    <row r="34" spans="1:11" ht="19.5" customHeight="1">
      <c r="A34" s="122"/>
      <c r="B34" s="171" t="s">
        <v>114</v>
      </c>
      <c r="C34" s="172"/>
      <c r="D34" s="172"/>
      <c r="E34" s="172"/>
      <c r="F34" s="172"/>
      <c r="G34" s="173"/>
      <c r="H34" s="5"/>
      <c r="I34" s="5"/>
      <c r="J34" s="78">
        <f>+'Other Salaries'!I10</f>
        <v>15584.400000000001</v>
      </c>
      <c r="K34" s="126">
        <f>+'Other Salaries'!J10</f>
        <v>0.89999999999999991</v>
      </c>
    </row>
    <row r="35" spans="1:11" ht="19.5" customHeight="1">
      <c r="A35" s="122"/>
      <c r="B35" s="171" t="s">
        <v>117</v>
      </c>
      <c r="C35" s="172"/>
      <c r="D35" s="172"/>
      <c r="E35" s="172"/>
      <c r="F35" s="172"/>
      <c r="G35" s="173"/>
      <c r="H35" s="5"/>
      <c r="I35" s="5"/>
      <c r="J35" s="78">
        <f>+'Other Salaries'!I14</f>
        <v>30420</v>
      </c>
      <c r="K35" s="126">
        <f>+'Other Salaries'!J14</f>
        <v>1</v>
      </c>
    </row>
    <row r="36" spans="1:11" ht="19.5" customHeight="1">
      <c r="A36" s="122"/>
      <c r="B36" s="171" t="s">
        <v>118</v>
      </c>
      <c r="C36" s="172"/>
      <c r="D36" s="172"/>
      <c r="E36" s="172"/>
      <c r="F36" s="172"/>
      <c r="G36" s="173"/>
      <c r="H36" s="5"/>
      <c r="I36" s="5"/>
      <c r="J36" s="78">
        <f>+'Other Salaries'!C27</f>
        <v>32500</v>
      </c>
      <c r="K36" s="126">
        <f>+'Other Salaries'!D27</f>
        <v>0.5</v>
      </c>
    </row>
    <row r="37" spans="1:11" ht="19.5" customHeight="1">
      <c r="A37" s="122"/>
      <c r="B37" s="171" t="s">
        <v>119</v>
      </c>
      <c r="C37" s="172"/>
      <c r="D37" s="172"/>
      <c r="E37" s="172"/>
      <c r="F37" s="172"/>
      <c r="G37" s="173"/>
      <c r="H37" s="5"/>
      <c r="I37" s="5"/>
      <c r="J37" s="78">
        <f>+'Other Salaries'!C21</f>
        <v>40000</v>
      </c>
      <c r="K37" s="126">
        <f>+'Other Salaries'!D21</f>
        <v>0.8</v>
      </c>
    </row>
    <row r="38" spans="1:11" ht="19.5" customHeight="1">
      <c r="A38" s="122"/>
      <c r="B38" s="171" t="s">
        <v>120</v>
      </c>
      <c r="C38" s="172"/>
      <c r="D38" s="172"/>
      <c r="E38" s="172"/>
      <c r="F38" s="172"/>
      <c r="G38" s="173"/>
      <c r="H38" s="5"/>
      <c r="I38" s="5"/>
      <c r="J38" s="78">
        <f>+'Other Salaries'!C25</f>
        <v>32500</v>
      </c>
      <c r="K38" s="126">
        <f>+'Other Salaries'!D25</f>
        <v>0.5</v>
      </c>
    </row>
    <row r="39" spans="1:11" ht="19.5" customHeight="1">
      <c r="A39" s="122"/>
      <c r="B39" s="171" t="s">
        <v>122</v>
      </c>
      <c r="C39" s="172"/>
      <c r="D39" s="172"/>
      <c r="E39" s="172"/>
      <c r="F39" s="172"/>
      <c r="G39" s="173"/>
      <c r="H39" s="5"/>
      <c r="I39" s="5"/>
      <c r="J39" s="78">
        <f>+'Other Salaries'!C29</f>
        <v>56500</v>
      </c>
      <c r="K39" s="126">
        <f>+'Other Salaries'!D29</f>
        <v>0.5</v>
      </c>
    </row>
    <row r="40" spans="1:11" ht="19.5" customHeight="1">
      <c r="A40" s="122"/>
      <c r="B40" s="171" t="s">
        <v>124</v>
      </c>
      <c r="C40" s="172"/>
      <c r="D40" s="172"/>
      <c r="E40" s="172"/>
      <c r="F40" s="172"/>
      <c r="G40" s="173"/>
      <c r="H40" s="5"/>
      <c r="I40" s="5"/>
      <c r="J40" s="78">
        <f>+'Classroom instructors'!B37+'Other Salaries'!B35</f>
        <v>60533.946880000003</v>
      </c>
      <c r="K40" s="78"/>
    </row>
    <row r="41" spans="1:11" ht="19.5" customHeight="1">
      <c r="A41" s="122"/>
      <c r="B41" s="171" t="s">
        <v>127</v>
      </c>
      <c r="C41" s="172"/>
      <c r="D41" s="172"/>
      <c r="E41" s="172"/>
      <c r="F41" s="172"/>
      <c r="G41" s="173"/>
      <c r="H41" s="5"/>
      <c r="I41" s="5"/>
      <c r="J41" s="78">
        <f>+'Classroom instructors'!B38+'Other Salaries'!B36</f>
        <v>29544.767999999996</v>
      </c>
      <c r="K41" s="126"/>
    </row>
    <row r="42" spans="1:11" ht="19.5" customHeight="1">
      <c r="A42" s="122"/>
      <c r="B42" s="171" t="s">
        <v>128</v>
      </c>
      <c r="C42" s="172"/>
      <c r="D42" s="172"/>
      <c r="E42" s="172"/>
      <c r="F42" s="172"/>
      <c r="G42" s="173"/>
      <c r="H42" s="5"/>
      <c r="I42" s="5"/>
      <c r="J42" s="78">
        <f>+'Classroom instructors'!B39+'Other Salaries'!B37</f>
        <v>39402.02399999999</v>
      </c>
      <c r="K42" s="126"/>
    </row>
    <row r="43" spans="1:11" ht="19.5" customHeight="1">
      <c r="A43" s="122"/>
      <c r="B43" s="174" t="s">
        <v>129</v>
      </c>
      <c r="C43" s="175"/>
      <c r="D43" s="175"/>
      <c r="E43" s="175"/>
      <c r="F43" s="175"/>
      <c r="G43" s="176"/>
      <c r="H43" s="132"/>
      <c r="I43" s="132"/>
      <c r="J43" s="133">
        <f t="shared" ref="J43:K43" si="0">SUM(J33:J42)</f>
        <v>819709.58888000005</v>
      </c>
      <c r="K43" s="134">
        <f t="shared" si="0"/>
        <v>30.6</v>
      </c>
    </row>
    <row r="44" spans="1:11" ht="6" customHeight="1">
      <c r="A44" s="47"/>
      <c r="B44" s="5"/>
      <c r="C44" s="5"/>
      <c r="D44" s="5"/>
      <c r="E44" s="5"/>
      <c r="F44" s="5"/>
      <c r="G44" s="5"/>
      <c r="H44" s="5"/>
      <c r="I44" s="5"/>
      <c r="J44" s="48"/>
    </row>
    <row r="45" spans="1:11" ht="19.5" customHeight="1">
      <c r="A45" s="118" t="s">
        <v>130</v>
      </c>
      <c r="B45" s="80"/>
      <c r="C45" s="34"/>
      <c r="D45" s="34"/>
      <c r="E45" s="34"/>
      <c r="F45" s="34"/>
      <c r="G45" s="34"/>
      <c r="H45" s="34"/>
      <c r="I45" s="34"/>
      <c r="J45" s="119"/>
    </row>
    <row r="46" spans="1:11" ht="19.5" customHeight="1">
      <c r="A46" s="122"/>
      <c r="B46" s="171" t="s">
        <v>131</v>
      </c>
      <c r="C46" s="172"/>
      <c r="D46" s="172"/>
      <c r="E46" s="172"/>
      <c r="F46" s="172"/>
      <c r="G46" s="173"/>
      <c r="H46" s="5"/>
      <c r="I46" s="5"/>
      <c r="J46" s="78">
        <f>+'Other expenses'!E7</f>
        <v>30000</v>
      </c>
    </row>
    <row r="47" spans="1:11" ht="19.5" customHeight="1">
      <c r="A47" s="122"/>
      <c r="B47" s="171" t="s">
        <v>132</v>
      </c>
      <c r="C47" s="172"/>
      <c r="D47" s="172"/>
      <c r="E47" s="172"/>
      <c r="F47" s="172"/>
      <c r="G47" s="173"/>
      <c r="H47" s="5"/>
      <c r="I47" s="5"/>
      <c r="J47" s="78">
        <f>+'Other expenses'!E8</f>
        <v>60000</v>
      </c>
    </row>
    <row r="48" spans="1:11" ht="19.5" customHeight="1">
      <c r="A48" s="122"/>
      <c r="B48" s="171" t="s">
        <v>133</v>
      </c>
      <c r="C48" s="172"/>
      <c r="D48" s="172"/>
      <c r="E48" s="172"/>
      <c r="F48" s="172"/>
      <c r="G48" s="173"/>
      <c r="H48" s="5"/>
      <c r="I48" s="5"/>
      <c r="J48" s="78">
        <f>+'Other expenses'!E11</f>
        <v>16000</v>
      </c>
    </row>
    <row r="49" spans="1:26" ht="19.5" customHeight="1">
      <c r="A49" s="122"/>
      <c r="B49" s="171" t="s">
        <v>134</v>
      </c>
      <c r="C49" s="172"/>
      <c r="D49" s="172"/>
      <c r="E49" s="172"/>
      <c r="F49" s="172"/>
      <c r="G49" s="173"/>
      <c r="H49" s="5"/>
      <c r="I49" s="5"/>
      <c r="J49" s="78">
        <f>+'Other expenses'!E13</f>
        <v>8000</v>
      </c>
    </row>
    <row r="50" spans="1:26" ht="19.5" customHeight="1">
      <c r="A50" s="122"/>
      <c r="B50" s="171" t="s">
        <v>135</v>
      </c>
      <c r="C50" s="172"/>
      <c r="D50" s="172"/>
      <c r="E50" s="172"/>
      <c r="F50" s="172"/>
      <c r="G50" s="173"/>
      <c r="H50" s="5"/>
      <c r="I50" s="5"/>
      <c r="J50" s="78">
        <f>+'Other expenses'!E15</f>
        <v>7500</v>
      </c>
    </row>
    <row r="51" spans="1:26" ht="19.5" customHeight="1">
      <c r="A51" s="122"/>
      <c r="B51" s="171"/>
      <c r="C51" s="172"/>
      <c r="D51" s="172"/>
      <c r="E51" s="172"/>
      <c r="F51" s="172"/>
      <c r="G51" s="173"/>
      <c r="H51" s="5"/>
      <c r="I51" s="5"/>
      <c r="J51" s="78"/>
    </row>
    <row r="52" spans="1:26" ht="17.25" customHeight="1">
      <c r="A52" s="122"/>
      <c r="B52" s="171"/>
      <c r="C52" s="172"/>
      <c r="D52" s="172"/>
      <c r="E52" s="172"/>
      <c r="F52" s="172"/>
      <c r="G52" s="173"/>
      <c r="H52" s="5"/>
      <c r="I52" s="5"/>
      <c r="J52" s="78"/>
    </row>
    <row r="53" spans="1:26" ht="19.5" customHeight="1">
      <c r="B53" s="174" t="s">
        <v>142</v>
      </c>
      <c r="C53" s="175"/>
      <c r="D53" s="175"/>
      <c r="E53" s="175"/>
      <c r="F53" s="175"/>
      <c r="G53" s="176"/>
      <c r="H53" s="132"/>
      <c r="I53" s="132"/>
      <c r="J53" s="133">
        <f>SUM(J46:J52)</f>
        <v>121500</v>
      </c>
    </row>
    <row r="54" spans="1:26" ht="19.5" customHeight="1">
      <c r="A54" s="122" t="s">
        <v>144</v>
      </c>
      <c r="B54" s="80"/>
      <c r="C54" s="34"/>
      <c r="D54" s="34"/>
      <c r="E54" s="34"/>
      <c r="F54" s="85"/>
      <c r="G54" s="85"/>
      <c r="H54" s="5"/>
      <c r="I54" s="5"/>
      <c r="J54" s="119"/>
    </row>
    <row r="55" spans="1:26" ht="19.5" customHeight="1">
      <c r="A55" s="122"/>
      <c r="B55" s="171" t="s">
        <v>150</v>
      </c>
      <c r="C55" s="172"/>
      <c r="D55" s="172"/>
      <c r="E55" s="172"/>
      <c r="F55" s="172"/>
      <c r="G55" s="173"/>
      <c r="H55" s="5"/>
      <c r="I55" s="5"/>
      <c r="J55" s="78">
        <f>+'Other expenses'!E18</f>
        <v>6000</v>
      </c>
    </row>
    <row r="56" spans="1:26" ht="19.5" customHeight="1">
      <c r="A56" s="122"/>
      <c r="B56" s="212"/>
      <c r="C56" s="172"/>
      <c r="D56" s="172"/>
      <c r="E56" s="172"/>
      <c r="F56" s="172"/>
      <c r="G56" s="173"/>
      <c r="H56" s="5"/>
      <c r="I56" s="5"/>
      <c r="J56" s="78"/>
    </row>
    <row r="57" spans="1:26" ht="19.5" customHeight="1">
      <c r="A57" s="122"/>
      <c r="B57" s="174" t="s">
        <v>155</v>
      </c>
      <c r="C57" s="175"/>
      <c r="D57" s="175"/>
      <c r="E57" s="175"/>
      <c r="F57" s="175"/>
      <c r="G57" s="176"/>
      <c r="H57" s="5"/>
      <c r="I57" s="5"/>
      <c r="J57" s="133">
        <f>+J55</f>
        <v>6000</v>
      </c>
    </row>
    <row r="58" spans="1:26" ht="6" customHeight="1">
      <c r="A58" s="79"/>
      <c r="B58" s="80"/>
      <c r="C58" s="34"/>
      <c r="D58" s="34"/>
      <c r="E58" s="34"/>
      <c r="F58" s="34"/>
      <c r="G58" s="34"/>
      <c r="H58" s="34"/>
      <c r="I58" s="34"/>
      <c r="J58" s="141"/>
    </row>
    <row r="59" spans="1:26" ht="19.5" customHeight="1">
      <c r="A59" s="122" t="s">
        <v>156</v>
      </c>
      <c r="B59" s="80"/>
      <c r="C59" s="34"/>
      <c r="D59" s="34"/>
      <c r="E59" s="34"/>
      <c r="F59" s="34"/>
      <c r="G59" s="34"/>
      <c r="H59" s="34"/>
      <c r="I59" s="34"/>
      <c r="J59" s="119"/>
      <c r="L59" s="55" t="s">
        <v>157</v>
      </c>
    </row>
    <row r="60" spans="1:26" ht="19.5" customHeight="1">
      <c r="A60" s="122"/>
      <c r="B60" s="171"/>
      <c r="C60" s="172"/>
      <c r="D60" s="172"/>
      <c r="E60" s="172"/>
      <c r="F60" s="172"/>
      <c r="G60" s="173"/>
      <c r="H60" s="5"/>
      <c r="I60" s="5"/>
      <c r="J60" s="78"/>
      <c r="L60" s="142">
        <f>+J17*0.02</f>
        <v>21644.2</v>
      </c>
    </row>
    <row r="61" spans="1:26" ht="6" customHeight="1">
      <c r="A61" s="79"/>
      <c r="B61" s="80"/>
      <c r="C61" s="34"/>
      <c r="D61" s="34"/>
      <c r="E61" s="34"/>
      <c r="F61" s="34"/>
      <c r="G61" s="34"/>
      <c r="H61" s="34"/>
      <c r="I61" s="34"/>
      <c r="J61" s="141"/>
    </row>
    <row r="62" spans="1:26" ht="19.5" customHeight="1">
      <c r="A62" s="118" t="s">
        <v>162</v>
      </c>
      <c r="B62" s="80"/>
      <c r="C62" s="34"/>
      <c r="D62" s="34"/>
      <c r="E62" s="34"/>
      <c r="F62" s="34"/>
      <c r="G62" s="34"/>
      <c r="H62" s="34"/>
      <c r="I62" s="34"/>
      <c r="J62" s="119"/>
    </row>
    <row r="63" spans="1:26" ht="20.25" customHeight="1">
      <c r="A63" s="122"/>
      <c r="B63" s="194" t="s">
        <v>163</v>
      </c>
      <c r="C63" s="172"/>
      <c r="D63" s="172"/>
      <c r="E63" s="172"/>
      <c r="F63" s="172"/>
      <c r="G63" s="173"/>
      <c r="H63" s="5"/>
      <c r="I63" s="5"/>
      <c r="J63" s="78">
        <v>45000</v>
      </c>
      <c r="L63" s="55" t="s">
        <v>164</v>
      </c>
    </row>
    <row r="64" spans="1:26" ht="22.5" customHeight="1">
      <c r="A64" s="122"/>
      <c r="B64" s="194" t="s">
        <v>165</v>
      </c>
      <c r="C64" s="172"/>
      <c r="D64" s="172"/>
      <c r="E64" s="172"/>
      <c r="F64" s="172"/>
      <c r="G64" s="173"/>
      <c r="H64" s="73"/>
      <c r="I64" s="73"/>
      <c r="J64" s="78">
        <v>45000</v>
      </c>
      <c r="K64" s="73"/>
      <c r="L64" s="142">
        <f>+J17*0.15</f>
        <v>162331.5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9.5" customHeight="1">
      <c r="A65" s="122"/>
      <c r="B65" s="194" t="s">
        <v>166</v>
      </c>
      <c r="C65" s="172"/>
      <c r="D65" s="172"/>
      <c r="E65" s="172"/>
      <c r="F65" s="172"/>
      <c r="G65" s="173"/>
      <c r="H65" s="5"/>
      <c r="I65" s="5"/>
      <c r="J65" s="78">
        <v>45000</v>
      </c>
    </row>
    <row r="66" spans="1:26" ht="19.5" customHeight="1">
      <c r="A66" s="122"/>
      <c r="B66" s="174" t="s">
        <v>167</v>
      </c>
      <c r="C66" s="175"/>
      <c r="D66" s="175"/>
      <c r="E66" s="175"/>
      <c r="F66" s="175"/>
      <c r="G66" s="176"/>
      <c r="H66" s="5"/>
      <c r="I66" s="5"/>
      <c r="J66" s="78">
        <f>SUM(J63:J65)</f>
        <v>135000</v>
      </c>
    </row>
    <row r="67" spans="1:26" ht="6" customHeight="1">
      <c r="A67" s="79"/>
      <c r="B67" s="80"/>
      <c r="C67" s="34"/>
      <c r="D67" s="34"/>
      <c r="E67" s="34"/>
      <c r="F67" s="34"/>
      <c r="G67" s="34"/>
      <c r="H67" s="34"/>
      <c r="I67" s="34"/>
      <c r="J67" s="141"/>
    </row>
    <row r="68" spans="1:26" ht="19.5" customHeight="1">
      <c r="A68" s="122" t="s">
        <v>169</v>
      </c>
      <c r="B68" s="80"/>
      <c r="C68" s="34"/>
      <c r="D68" s="34"/>
      <c r="E68" s="34"/>
      <c r="F68" s="34"/>
      <c r="G68" s="34"/>
      <c r="H68" s="34"/>
      <c r="I68" s="34"/>
      <c r="J68" s="119"/>
    </row>
    <row r="69" spans="1:26" ht="19.5" customHeight="1">
      <c r="A69" s="195"/>
      <c r="B69" s="175"/>
      <c r="C69" s="175"/>
      <c r="D69" s="175"/>
      <c r="E69" s="175"/>
      <c r="F69" s="175"/>
      <c r="G69" s="175"/>
      <c r="H69" s="176"/>
      <c r="I69" s="34"/>
      <c r="J69" s="78"/>
    </row>
    <row r="70" spans="1:26" ht="8.25" customHeight="1">
      <c r="A70" s="148"/>
      <c r="B70" s="93"/>
      <c r="C70" s="85"/>
      <c r="D70" s="85"/>
      <c r="E70" s="85"/>
      <c r="F70" s="85"/>
      <c r="G70" s="85"/>
      <c r="H70" s="85"/>
      <c r="I70" s="85"/>
      <c r="J70" s="94"/>
    </row>
    <row r="71" spans="1:26" ht="25.5" customHeight="1">
      <c r="A71" s="149"/>
      <c r="B71" s="150"/>
      <c r="C71" s="98"/>
      <c r="D71" s="98"/>
      <c r="E71" s="98"/>
      <c r="F71" s="151" t="s">
        <v>171</v>
      </c>
      <c r="G71" s="152"/>
      <c r="H71" s="152"/>
      <c r="I71" s="153"/>
      <c r="J71" s="154">
        <f>+J43+J53</f>
        <v>941209.58888000005</v>
      </c>
    </row>
    <row r="72" spans="1:26" ht="15.7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26" ht="30" customHeight="1">
      <c r="A73" s="196"/>
      <c r="B73" s="189"/>
      <c r="C73" s="189"/>
      <c r="D73" s="189"/>
      <c r="E73" s="189"/>
      <c r="F73" s="210" t="s">
        <v>172</v>
      </c>
      <c r="G73" s="189"/>
      <c r="H73" s="189"/>
      <c r="I73" s="211"/>
      <c r="J73" s="155">
        <f>+J28-(J43+J53+J57+J66)</f>
        <v>0.41111999982967973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.75" customHeight="1"/>
    <row r="75" spans="1:26" ht="0.75" customHeight="1"/>
    <row r="76" spans="1:26" ht="15" customHeight="1">
      <c r="A76" s="156" t="s">
        <v>173</v>
      </c>
      <c r="B76" s="157"/>
      <c r="C76" s="157"/>
      <c r="D76" s="157"/>
      <c r="E76" s="157"/>
      <c r="F76" s="157"/>
      <c r="G76" s="157"/>
      <c r="H76" s="157"/>
      <c r="I76" s="157"/>
      <c r="J76" s="158"/>
    </row>
    <row r="77" spans="1:26" ht="18" customHeight="1">
      <c r="A77" s="159">
        <v>1</v>
      </c>
      <c r="B77" s="197"/>
      <c r="C77" s="175"/>
      <c r="D77" s="175"/>
      <c r="E77" s="175"/>
      <c r="F77" s="175"/>
      <c r="G77" s="175"/>
      <c r="H77" s="175"/>
      <c r="I77" s="175"/>
      <c r="J77" s="198"/>
    </row>
    <row r="78" spans="1:26" ht="18" customHeight="1">
      <c r="A78" s="159">
        <v>2</v>
      </c>
      <c r="B78" s="197"/>
      <c r="C78" s="175"/>
      <c r="D78" s="175"/>
      <c r="E78" s="175"/>
      <c r="F78" s="175"/>
      <c r="G78" s="175"/>
      <c r="H78" s="175"/>
      <c r="I78" s="175"/>
      <c r="J78" s="198"/>
    </row>
    <row r="79" spans="1:26" ht="18" customHeight="1">
      <c r="A79" s="159">
        <v>3</v>
      </c>
      <c r="B79" s="197"/>
      <c r="C79" s="175"/>
      <c r="D79" s="175"/>
      <c r="E79" s="175"/>
      <c r="F79" s="175"/>
      <c r="G79" s="175"/>
      <c r="H79" s="175"/>
      <c r="I79" s="175"/>
      <c r="J79" s="198"/>
    </row>
    <row r="80" spans="1:26" ht="18" customHeight="1">
      <c r="A80" s="159">
        <v>4</v>
      </c>
      <c r="B80" s="197"/>
      <c r="C80" s="175"/>
      <c r="D80" s="175"/>
      <c r="E80" s="175"/>
      <c r="F80" s="175"/>
      <c r="G80" s="175"/>
      <c r="H80" s="175"/>
      <c r="I80" s="175"/>
      <c r="J80" s="198"/>
    </row>
    <row r="81" spans="1:10" ht="18" customHeight="1">
      <c r="A81" s="160">
        <v>5</v>
      </c>
      <c r="B81" s="204"/>
      <c r="C81" s="189"/>
      <c r="D81" s="189"/>
      <c r="E81" s="189"/>
      <c r="F81" s="189"/>
      <c r="G81" s="189"/>
      <c r="H81" s="189"/>
      <c r="I81" s="189"/>
      <c r="J81" s="205"/>
    </row>
    <row r="82" spans="1:10" ht="2.25" customHeight="1">
      <c r="A82" s="42"/>
      <c r="B82" s="161"/>
      <c r="C82" s="161"/>
      <c r="D82" s="161"/>
      <c r="E82" s="161"/>
      <c r="F82" s="161"/>
      <c r="G82" s="161"/>
      <c r="H82" s="161"/>
      <c r="I82" s="161"/>
      <c r="J82" s="161"/>
    </row>
    <row r="83" spans="1:10" ht="5.25" hidden="1" customHeight="1"/>
    <row r="84" spans="1:10" ht="17.25" customHeight="1">
      <c r="A84" s="162" t="s">
        <v>174</v>
      </c>
      <c r="B84" s="162"/>
      <c r="C84" s="162"/>
      <c r="D84" s="162"/>
      <c r="E84" s="162"/>
      <c r="F84" s="162"/>
      <c r="G84" s="163"/>
      <c r="H84" s="163"/>
      <c r="I84" s="163"/>
      <c r="J84" s="163"/>
    </row>
    <row r="85" spans="1:10" ht="3.75" hidden="1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</row>
    <row r="86" spans="1:10" ht="3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</row>
    <row r="87" spans="1:10" ht="20.25" customHeight="1">
      <c r="A87" s="164"/>
      <c r="B87" s="162" t="s">
        <v>175</v>
      </c>
      <c r="C87" s="208"/>
      <c r="D87" s="175"/>
      <c r="E87" s="175"/>
      <c r="F87" s="207"/>
      <c r="G87" s="165" t="s">
        <v>176</v>
      </c>
      <c r="H87" s="208"/>
      <c r="I87" s="176"/>
      <c r="J87" s="163"/>
    </row>
    <row r="88" spans="1:10" ht="10.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</row>
    <row r="89" spans="1:10" ht="20.25" customHeight="1">
      <c r="A89" s="163"/>
      <c r="B89" s="162" t="s">
        <v>177</v>
      </c>
      <c r="C89" s="206"/>
      <c r="D89" s="175"/>
      <c r="E89" s="175"/>
      <c r="F89" s="207"/>
      <c r="G89" s="166" t="s">
        <v>178</v>
      </c>
      <c r="H89" s="208"/>
      <c r="I89" s="176"/>
      <c r="J89" s="163"/>
    </row>
    <row r="90" spans="1:10" ht="9.75" customHeight="1">
      <c r="A90" s="209"/>
      <c r="B90" s="200"/>
      <c r="C90" s="163"/>
      <c r="D90" s="163"/>
      <c r="E90" s="163"/>
      <c r="F90" s="163"/>
      <c r="G90" s="163"/>
      <c r="H90" s="163"/>
      <c r="I90" s="163"/>
      <c r="J90" s="163"/>
    </row>
    <row r="91" spans="1:10" ht="47.25" customHeight="1">
      <c r="A91" s="213" t="s">
        <v>179</v>
      </c>
      <c r="B91" s="200"/>
      <c r="C91" s="214"/>
      <c r="D91" s="175"/>
      <c r="E91" s="175"/>
      <c r="F91" s="207"/>
      <c r="G91" s="167" t="s">
        <v>180</v>
      </c>
      <c r="H91" s="168"/>
      <c r="I91" s="215" t="s">
        <v>181</v>
      </c>
      <c r="J91" s="200"/>
    </row>
    <row r="92" spans="1:10" ht="15.75" customHeight="1"/>
    <row r="93" spans="1:10" ht="15.75" customHeight="1"/>
    <row r="94" spans="1:10" ht="15.75" customHeight="1">
      <c r="F94" s="169"/>
    </row>
    <row r="95" spans="1:10" ht="15.75" customHeight="1"/>
    <row r="96" spans="1:10" ht="15.75" customHeight="1">
      <c r="G96" s="170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5">
    <mergeCell ref="A91:B91"/>
    <mergeCell ref="C91:F91"/>
    <mergeCell ref="I91:J91"/>
    <mergeCell ref="H87:I87"/>
    <mergeCell ref="C87:F87"/>
    <mergeCell ref="B81:J81"/>
    <mergeCell ref="C89:F89"/>
    <mergeCell ref="H89:I89"/>
    <mergeCell ref="A90:B90"/>
    <mergeCell ref="B46:G46"/>
    <mergeCell ref="B47:G47"/>
    <mergeCell ref="B48:G48"/>
    <mergeCell ref="B49:G49"/>
    <mergeCell ref="B50:G50"/>
    <mergeCell ref="B53:G53"/>
    <mergeCell ref="B80:J80"/>
    <mergeCell ref="F73:I73"/>
    <mergeCell ref="B66:G66"/>
    <mergeCell ref="B51:G51"/>
    <mergeCell ref="B52:G52"/>
    <mergeCell ref="B56:G56"/>
    <mergeCell ref="I1:J1"/>
    <mergeCell ref="H2:I2"/>
    <mergeCell ref="H4:I4"/>
    <mergeCell ref="B33:G33"/>
    <mergeCell ref="A24:D24"/>
    <mergeCell ref="E24:H24"/>
    <mergeCell ref="E25:H25"/>
    <mergeCell ref="B55:G55"/>
    <mergeCell ref="B57:G57"/>
    <mergeCell ref="B60:G60"/>
    <mergeCell ref="B63:G63"/>
    <mergeCell ref="B64:G64"/>
    <mergeCell ref="B65:G65"/>
    <mergeCell ref="A69:H69"/>
    <mergeCell ref="A73:E73"/>
    <mergeCell ref="B79:J79"/>
    <mergeCell ref="B77:J77"/>
    <mergeCell ref="B78:J78"/>
    <mergeCell ref="B42:G42"/>
    <mergeCell ref="B43:G43"/>
    <mergeCell ref="H5:I6"/>
    <mergeCell ref="L14:M15"/>
    <mergeCell ref="B6:F6"/>
    <mergeCell ref="B39:G39"/>
    <mergeCell ref="E26:H26"/>
    <mergeCell ref="B38:G38"/>
    <mergeCell ref="G20:I20"/>
    <mergeCell ref="F28:H28"/>
    <mergeCell ref="B35:G35"/>
    <mergeCell ref="B34:G34"/>
    <mergeCell ref="B36:G36"/>
    <mergeCell ref="B40:G40"/>
    <mergeCell ref="B41:G41"/>
    <mergeCell ref="B37:G37"/>
  </mergeCells>
  <pageMargins left="0.43307086614173229" right="0.23622047244094491" top="0.55118110236220474" bottom="0.55118110236220474" header="0" footer="0"/>
  <pageSetup paperSize="5" orientation="portrait"/>
  <headerFooter>
    <oddFooter>&amp;RBudget Reporting Template Interim Expenditure Report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2.5703125" defaultRowHeight="15" customHeight="1" x14ac:dyDescent="0"/>
  <cols>
    <col min="1" max="1" width="37" customWidth="1"/>
    <col min="2" max="2" width="10.140625" customWidth="1"/>
    <col min="3" max="26" width="7.5703125" customWidth="1"/>
  </cols>
  <sheetData>
    <row r="1" spans="1:7" ht="14">
      <c r="A1" s="1" t="s">
        <v>0</v>
      </c>
      <c r="B1" s="216" t="s">
        <v>2</v>
      </c>
      <c r="C1" s="175"/>
      <c r="D1" s="175"/>
      <c r="E1" s="175"/>
      <c r="F1" s="175"/>
      <c r="G1" s="176"/>
    </row>
    <row r="2" spans="1:7" ht="14">
      <c r="B2" s="3" t="s">
        <v>3</v>
      </c>
      <c r="G2" s="4"/>
    </row>
    <row r="3" spans="1:7" ht="14">
      <c r="G3" s="4"/>
    </row>
    <row r="4" spans="1:7" ht="14">
      <c r="G4" s="4"/>
    </row>
    <row r="5" spans="1:7" ht="14">
      <c r="G5" s="4"/>
    </row>
    <row r="6" spans="1:7" ht="14">
      <c r="A6" s="1" t="s">
        <v>4</v>
      </c>
      <c r="B6" s="6">
        <f>+'TPA - estimates ADE'!B41</f>
        <v>310</v>
      </c>
    </row>
    <row r="7" spans="1:7" ht="14">
      <c r="A7" s="1" t="s">
        <v>6</v>
      </c>
      <c r="B7" s="6">
        <f>+'TPA - estimates ADE'!B40</f>
        <v>675</v>
      </c>
    </row>
    <row r="8" spans="1:7" ht="14">
      <c r="A8" s="1" t="s">
        <v>7</v>
      </c>
      <c r="B8" s="6">
        <f>+'TPA - estimates ADE'!B36</f>
        <v>14250</v>
      </c>
    </row>
    <row r="9" spans="1:7" ht="14">
      <c r="A9" s="1" t="s">
        <v>8</v>
      </c>
      <c r="B9" s="6">
        <f>+'TPA - estimates ADE'!B35</f>
        <v>31</v>
      </c>
    </row>
    <row r="10" spans="1:7" ht="14">
      <c r="A10" s="1" t="s">
        <v>9</v>
      </c>
      <c r="B10" s="6">
        <f>+'TPA - estimates ADE'!B32</f>
        <v>5</v>
      </c>
    </row>
    <row r="11" spans="1:7" ht="14">
      <c r="A11" s="1" t="s">
        <v>10</v>
      </c>
      <c r="B11" s="6">
        <f>+'TPA - estimates ADE'!B33</f>
        <v>15</v>
      </c>
    </row>
    <row r="12" spans="1:7" ht="14">
      <c r="A12" s="1" t="s">
        <v>11</v>
      </c>
      <c r="B12" s="6">
        <f>+'TPA - estimates ADE'!B34</f>
        <v>11</v>
      </c>
    </row>
    <row r="13" spans="1:7" ht="14">
      <c r="A13" s="1" t="s">
        <v>13</v>
      </c>
      <c r="B13" s="1">
        <v>0</v>
      </c>
    </row>
    <row r="14" spans="1:7" ht="14">
      <c r="A14" s="1" t="s">
        <v>14</v>
      </c>
      <c r="B14" s="1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G1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7" workbookViewId="0"/>
  </sheetViews>
  <sheetFormatPr baseColWidth="10" defaultColWidth="12.5703125" defaultRowHeight="15" customHeight="1" x14ac:dyDescent="0"/>
  <cols>
    <col min="1" max="1" width="17.42578125" customWidth="1"/>
    <col min="2" max="7" width="12.140625" customWidth="1"/>
    <col min="8" max="8" width="9.85546875" customWidth="1"/>
    <col min="9" max="9" width="4.140625" customWidth="1"/>
    <col min="10" max="10" width="9.42578125" customWidth="1"/>
    <col min="11" max="26" width="7.5703125" customWidth="1"/>
  </cols>
  <sheetData>
    <row r="1" spans="1:11" ht="14">
      <c r="A1" s="1" t="s">
        <v>0</v>
      </c>
      <c r="B1" s="217" t="str">
        <f>+'TPA - targets'!B1</f>
        <v>Fake School Board</v>
      </c>
      <c r="C1" s="175"/>
      <c r="D1" s="175"/>
      <c r="E1" s="175"/>
      <c r="F1" s="175"/>
      <c r="G1" s="175"/>
      <c r="H1" s="176"/>
    </row>
    <row r="2" spans="1:11" ht="14">
      <c r="B2" s="7" t="str">
        <f>+'TPA - targets'!B2</f>
        <v>19-20</v>
      </c>
    </row>
    <row r="3" spans="1:11" ht="14">
      <c r="H3" s="4"/>
    </row>
    <row r="4" spans="1:11" ht="14">
      <c r="B4" s="218" t="s">
        <v>12</v>
      </c>
      <c r="C4" s="175"/>
      <c r="D4" s="175"/>
      <c r="E4" s="175"/>
      <c r="F4" s="175"/>
      <c r="G4" s="175"/>
      <c r="H4" s="176"/>
    </row>
    <row r="5" spans="1:11" ht="28">
      <c r="B5" s="10" t="s">
        <v>16</v>
      </c>
      <c r="C5" s="12" t="s">
        <v>17</v>
      </c>
      <c r="D5" s="12" t="s">
        <v>18</v>
      </c>
      <c r="E5" s="12" t="s">
        <v>20</v>
      </c>
      <c r="F5" s="12" t="s">
        <v>21</v>
      </c>
      <c r="G5" s="12" t="s">
        <v>22</v>
      </c>
      <c r="H5" s="13" t="s">
        <v>23</v>
      </c>
    </row>
    <row r="6" spans="1:11" ht="14">
      <c r="A6" s="15" t="s">
        <v>24</v>
      </c>
      <c r="B6" s="3">
        <f>36*5</f>
        <v>180</v>
      </c>
      <c r="C6" s="16">
        <v>3</v>
      </c>
      <c r="D6" s="3">
        <v>1</v>
      </c>
      <c r="E6" s="18">
        <f t="shared" ref="E6:E12" si="0">+B6*C6*D6</f>
        <v>540</v>
      </c>
      <c r="F6" s="20">
        <v>15</v>
      </c>
      <c r="G6" s="3">
        <f t="shared" ref="G6:G12" si="1">+D6*F6</f>
        <v>15</v>
      </c>
      <c r="H6" s="24">
        <f t="shared" ref="H6:H12" si="2">+E6*F6</f>
        <v>8100</v>
      </c>
      <c r="J6" s="1" t="s">
        <v>30</v>
      </c>
      <c r="K6" s="1">
        <f>+D6+D9</f>
        <v>2</v>
      </c>
    </row>
    <row r="7" spans="1:11" ht="14">
      <c r="A7" s="15" t="s">
        <v>31</v>
      </c>
      <c r="B7" s="3">
        <v>180</v>
      </c>
      <c r="C7" s="16">
        <v>3</v>
      </c>
      <c r="D7" s="3">
        <v>5</v>
      </c>
      <c r="E7" s="18">
        <f t="shared" si="0"/>
        <v>2700</v>
      </c>
      <c r="F7" s="3">
        <v>24</v>
      </c>
      <c r="G7" s="3">
        <f t="shared" si="1"/>
        <v>120</v>
      </c>
      <c r="H7" s="24">
        <f t="shared" si="2"/>
        <v>64800</v>
      </c>
      <c r="J7" s="1" t="s">
        <v>32</v>
      </c>
      <c r="K7" s="1">
        <f>+D7+D10+D12</f>
        <v>9</v>
      </c>
    </row>
    <row r="8" spans="1:11" ht="14">
      <c r="A8" s="15" t="s">
        <v>33</v>
      </c>
      <c r="B8" s="3">
        <v>180</v>
      </c>
      <c r="C8" s="16">
        <v>3</v>
      </c>
      <c r="D8" s="3">
        <v>5</v>
      </c>
      <c r="E8" s="18">
        <f t="shared" si="0"/>
        <v>2700</v>
      </c>
      <c r="F8" s="3">
        <v>24</v>
      </c>
      <c r="G8" s="3">
        <f t="shared" si="1"/>
        <v>120</v>
      </c>
      <c r="H8" s="24">
        <f t="shared" si="2"/>
        <v>64800</v>
      </c>
      <c r="J8" s="1" t="s">
        <v>35</v>
      </c>
      <c r="K8" s="1">
        <f>+D8+D11</f>
        <v>6</v>
      </c>
    </row>
    <row r="9" spans="1:11" ht="14">
      <c r="A9" s="15" t="s">
        <v>36</v>
      </c>
      <c r="B9" s="3">
        <v>72</v>
      </c>
      <c r="C9" s="16">
        <v>3</v>
      </c>
      <c r="D9" s="3">
        <v>1</v>
      </c>
      <c r="E9" s="18">
        <f t="shared" si="0"/>
        <v>216</v>
      </c>
      <c r="F9" s="3">
        <v>15</v>
      </c>
      <c r="G9" s="3">
        <f t="shared" si="1"/>
        <v>15</v>
      </c>
      <c r="H9" s="24">
        <f t="shared" si="2"/>
        <v>3240</v>
      </c>
    </row>
    <row r="10" spans="1:11" ht="14">
      <c r="A10" s="15" t="s">
        <v>37</v>
      </c>
      <c r="B10" s="3">
        <v>72</v>
      </c>
      <c r="C10" s="16">
        <v>3</v>
      </c>
      <c r="D10" s="3">
        <v>2</v>
      </c>
      <c r="E10" s="18">
        <f t="shared" si="0"/>
        <v>432</v>
      </c>
      <c r="F10" s="3">
        <v>20</v>
      </c>
      <c r="G10" s="3">
        <f t="shared" si="1"/>
        <v>40</v>
      </c>
      <c r="H10" s="24">
        <f t="shared" si="2"/>
        <v>8640</v>
      </c>
    </row>
    <row r="11" spans="1:11" ht="14">
      <c r="A11" s="15" t="s">
        <v>38</v>
      </c>
      <c r="B11" s="3">
        <v>72</v>
      </c>
      <c r="C11" s="16">
        <v>3</v>
      </c>
      <c r="D11" s="3">
        <v>1</v>
      </c>
      <c r="E11" s="18">
        <f t="shared" si="0"/>
        <v>216</v>
      </c>
      <c r="F11" s="3">
        <v>20</v>
      </c>
      <c r="G11" s="3">
        <f t="shared" si="1"/>
        <v>20</v>
      </c>
      <c r="H11" s="24">
        <f t="shared" si="2"/>
        <v>4320</v>
      </c>
    </row>
    <row r="12" spans="1:11" ht="14">
      <c r="A12" s="15" t="s">
        <v>41</v>
      </c>
      <c r="B12" s="3">
        <v>35</v>
      </c>
      <c r="C12" s="16">
        <v>3</v>
      </c>
      <c r="D12" s="3">
        <v>2</v>
      </c>
      <c r="E12" s="18">
        <f t="shared" si="0"/>
        <v>210</v>
      </c>
      <c r="F12" s="3">
        <v>20</v>
      </c>
      <c r="G12" s="3">
        <f t="shared" si="1"/>
        <v>40</v>
      </c>
      <c r="H12" s="24">
        <f t="shared" si="2"/>
        <v>4200</v>
      </c>
    </row>
    <row r="13" spans="1:11" ht="14">
      <c r="A13" s="15"/>
      <c r="B13" s="34">
        <f>SUM(B6:B12)</f>
        <v>791</v>
      </c>
      <c r="C13" s="34"/>
      <c r="D13" s="34">
        <f t="shared" ref="D13:E13" si="3">SUM(D6:D12)</f>
        <v>17</v>
      </c>
      <c r="E13" s="34">
        <f t="shared" si="3"/>
        <v>7014</v>
      </c>
      <c r="F13" s="34"/>
      <c r="G13" s="34">
        <f t="shared" ref="G13:H13" si="4">SUM(G6:G12)</f>
        <v>370</v>
      </c>
      <c r="H13" s="37">
        <f t="shared" si="4"/>
        <v>158100</v>
      </c>
    </row>
    <row r="14" spans="1:11" ht="14">
      <c r="A14" s="15"/>
      <c r="H14" s="41"/>
    </row>
    <row r="15" spans="1:11" ht="14">
      <c r="A15" s="15"/>
      <c r="H15" s="41"/>
    </row>
    <row r="16" spans="1:11" ht="14">
      <c r="A16" s="15"/>
      <c r="B16" s="218" t="s">
        <v>51</v>
      </c>
      <c r="C16" s="175"/>
      <c r="D16" s="175"/>
      <c r="E16" s="175"/>
      <c r="F16" s="175"/>
      <c r="G16" s="175"/>
      <c r="H16" s="176"/>
    </row>
    <row r="17" spans="1:11" ht="28">
      <c r="A17" s="15"/>
      <c r="B17" s="10" t="s">
        <v>16</v>
      </c>
      <c r="C17" s="12" t="s">
        <v>17</v>
      </c>
      <c r="D17" s="12" t="s">
        <v>18</v>
      </c>
      <c r="E17" s="12" t="s">
        <v>20</v>
      </c>
      <c r="F17" s="12" t="s">
        <v>21</v>
      </c>
      <c r="G17" s="12" t="s">
        <v>22</v>
      </c>
      <c r="H17" s="13" t="s">
        <v>23</v>
      </c>
    </row>
    <row r="18" spans="1:11" ht="14">
      <c r="A18" s="15" t="s">
        <v>24</v>
      </c>
      <c r="B18" s="3">
        <f>36*5</f>
        <v>180</v>
      </c>
      <c r="C18" s="16">
        <v>3</v>
      </c>
      <c r="D18" s="3">
        <v>2</v>
      </c>
      <c r="E18" s="18">
        <f t="shared" ref="E18:E21" si="5">+B18*C18*D18</f>
        <v>1080</v>
      </c>
      <c r="F18" s="3">
        <v>15</v>
      </c>
      <c r="G18" s="3">
        <f t="shared" ref="G18:G21" si="6">+D18*F18</f>
        <v>30</v>
      </c>
      <c r="H18" s="24">
        <f t="shared" ref="H18:H21" si="7">+E18*F18</f>
        <v>16200</v>
      </c>
      <c r="J18" s="1" t="s">
        <v>30</v>
      </c>
      <c r="K18" s="1">
        <f>+D18</f>
        <v>2</v>
      </c>
    </row>
    <row r="19" spans="1:11" ht="14">
      <c r="A19" s="15" t="s">
        <v>31</v>
      </c>
      <c r="B19" s="3">
        <v>180</v>
      </c>
      <c r="C19" s="16">
        <v>3</v>
      </c>
      <c r="D19" s="3">
        <v>3</v>
      </c>
      <c r="E19" s="18">
        <f t="shared" si="5"/>
        <v>1620</v>
      </c>
      <c r="F19" s="3">
        <v>24</v>
      </c>
      <c r="G19" s="3">
        <f t="shared" si="6"/>
        <v>72</v>
      </c>
      <c r="H19" s="24">
        <f t="shared" si="7"/>
        <v>38880</v>
      </c>
      <c r="J19" s="1" t="s">
        <v>32</v>
      </c>
      <c r="K19" s="1">
        <f>+D19+D21</f>
        <v>4</v>
      </c>
    </row>
    <row r="20" spans="1:11" ht="14">
      <c r="A20" s="15" t="s">
        <v>33</v>
      </c>
      <c r="B20" s="3">
        <v>180</v>
      </c>
      <c r="C20" s="16">
        <v>3</v>
      </c>
      <c r="D20" s="3">
        <v>4</v>
      </c>
      <c r="E20" s="18">
        <f t="shared" si="5"/>
        <v>2160</v>
      </c>
      <c r="F20" s="3">
        <v>24</v>
      </c>
      <c r="G20" s="3">
        <f t="shared" si="6"/>
        <v>96</v>
      </c>
      <c r="H20" s="24">
        <f t="shared" si="7"/>
        <v>51840</v>
      </c>
      <c r="J20" s="1" t="s">
        <v>35</v>
      </c>
      <c r="K20" s="1">
        <f>+D20</f>
        <v>4</v>
      </c>
    </row>
    <row r="21" spans="1:11" ht="15.75" customHeight="1">
      <c r="A21" s="15" t="s">
        <v>37</v>
      </c>
      <c r="B21" s="3">
        <v>72</v>
      </c>
      <c r="C21" s="16">
        <v>3</v>
      </c>
      <c r="D21" s="3">
        <v>1</v>
      </c>
      <c r="E21" s="18">
        <f t="shared" si="5"/>
        <v>216</v>
      </c>
      <c r="F21" s="3">
        <v>20</v>
      </c>
      <c r="G21" s="3">
        <f t="shared" si="6"/>
        <v>20</v>
      </c>
      <c r="H21" s="24">
        <f t="shared" si="7"/>
        <v>4320</v>
      </c>
    </row>
    <row r="22" spans="1:11" ht="15.75" customHeight="1">
      <c r="A22" s="15"/>
      <c r="B22" s="34">
        <f>SUM(B18:B21)</f>
        <v>612</v>
      </c>
      <c r="C22" s="34"/>
      <c r="D22" s="34">
        <f t="shared" ref="D22:E22" si="8">SUM(D18:D21)</f>
        <v>10</v>
      </c>
      <c r="E22" s="34">
        <f t="shared" si="8"/>
        <v>5076</v>
      </c>
      <c r="F22" s="34"/>
      <c r="G22" s="34">
        <f t="shared" ref="G22:H22" si="9">SUM(G18:G21)</f>
        <v>218</v>
      </c>
      <c r="H22" s="37">
        <f t="shared" si="9"/>
        <v>111240</v>
      </c>
    </row>
    <row r="23" spans="1:11" ht="15.75" customHeight="1">
      <c r="A23" s="15"/>
      <c r="H23" s="4"/>
    </row>
    <row r="24" spans="1:11" ht="15.75" customHeight="1">
      <c r="A24" s="15"/>
      <c r="B24" s="218" t="s">
        <v>58</v>
      </c>
      <c r="C24" s="175"/>
      <c r="D24" s="175"/>
      <c r="E24" s="175"/>
      <c r="F24" s="175"/>
      <c r="G24" s="175"/>
      <c r="H24" s="176"/>
    </row>
    <row r="25" spans="1:11" ht="15.75" customHeight="1">
      <c r="A25" s="15"/>
      <c r="B25" s="10" t="s">
        <v>16</v>
      </c>
      <c r="C25" s="12" t="s">
        <v>17</v>
      </c>
      <c r="D25" s="12" t="s">
        <v>18</v>
      </c>
      <c r="E25" s="12" t="s">
        <v>20</v>
      </c>
      <c r="F25" s="12" t="s">
        <v>21</v>
      </c>
      <c r="G25" s="12" t="s">
        <v>22</v>
      </c>
      <c r="H25" s="13" t="s">
        <v>23</v>
      </c>
    </row>
    <row r="26" spans="1:11" ht="15.75" customHeight="1">
      <c r="A26" s="15" t="s">
        <v>24</v>
      </c>
      <c r="B26" s="3">
        <v>180</v>
      </c>
      <c r="C26" s="16">
        <v>3</v>
      </c>
      <c r="D26" s="3">
        <v>1</v>
      </c>
      <c r="E26" s="18">
        <f t="shared" ref="E26:E28" si="10">+B26*C26*D26</f>
        <v>540</v>
      </c>
      <c r="F26" s="3">
        <v>15</v>
      </c>
      <c r="G26" s="3">
        <f t="shared" ref="G26:G28" si="11">+D26*F26</f>
        <v>15</v>
      </c>
      <c r="H26" s="24">
        <f t="shared" ref="H26:H28" si="12">+E26*F26</f>
        <v>8100</v>
      </c>
      <c r="J26" s="1" t="s">
        <v>30</v>
      </c>
      <c r="K26" s="1">
        <f t="shared" ref="K26:K28" si="13">+D26</f>
        <v>1</v>
      </c>
    </row>
    <row r="27" spans="1:11" ht="15.75" customHeight="1">
      <c r="A27" s="15" t="s">
        <v>31</v>
      </c>
      <c r="B27" s="3">
        <v>180</v>
      </c>
      <c r="C27" s="16">
        <v>3</v>
      </c>
      <c r="D27" s="3">
        <v>2</v>
      </c>
      <c r="E27" s="18">
        <f t="shared" si="10"/>
        <v>1080</v>
      </c>
      <c r="F27" s="3">
        <v>24</v>
      </c>
      <c r="G27" s="3">
        <f t="shared" si="11"/>
        <v>48</v>
      </c>
      <c r="H27" s="24">
        <f t="shared" si="12"/>
        <v>25920</v>
      </c>
      <c r="J27" s="1" t="s">
        <v>32</v>
      </c>
      <c r="K27" s="1">
        <f t="shared" si="13"/>
        <v>2</v>
      </c>
    </row>
    <row r="28" spans="1:11" ht="15.75" customHeight="1">
      <c r="A28" s="15" t="s">
        <v>33</v>
      </c>
      <c r="B28" s="3">
        <v>180</v>
      </c>
      <c r="C28" s="16">
        <v>3</v>
      </c>
      <c r="D28" s="3">
        <v>1</v>
      </c>
      <c r="E28" s="18">
        <f t="shared" si="10"/>
        <v>540</v>
      </c>
      <c r="F28" s="3">
        <v>24</v>
      </c>
      <c r="G28" s="3">
        <f t="shared" si="11"/>
        <v>24</v>
      </c>
      <c r="H28" s="24">
        <f t="shared" si="12"/>
        <v>12960</v>
      </c>
      <c r="J28" s="1" t="s">
        <v>35</v>
      </c>
      <c r="K28" s="1">
        <f t="shared" si="13"/>
        <v>1</v>
      </c>
    </row>
    <row r="29" spans="1:11" ht="15.75" customHeight="1">
      <c r="A29" s="15"/>
      <c r="B29" s="34">
        <f>SUM(B26:B28)</f>
        <v>540</v>
      </c>
      <c r="C29" s="34"/>
      <c r="D29" s="34">
        <f t="shared" ref="D29:E29" si="14">SUM(D26:D28)</f>
        <v>4</v>
      </c>
      <c r="E29" s="34">
        <f t="shared" si="14"/>
        <v>2160</v>
      </c>
      <c r="F29" s="34"/>
      <c r="G29" s="34">
        <f t="shared" ref="G29:H29" si="15">SUM(G26:G28)</f>
        <v>87</v>
      </c>
      <c r="H29" s="37">
        <f t="shared" si="15"/>
        <v>46980</v>
      </c>
    </row>
    <row r="30" spans="1:11" ht="15.75" customHeight="1">
      <c r="A30" s="15"/>
      <c r="H30" s="4"/>
    </row>
    <row r="31" spans="1:11" ht="15.75" customHeight="1">
      <c r="H31" s="4"/>
    </row>
    <row r="32" spans="1:11" ht="15.75" customHeight="1">
      <c r="A32" s="1" t="s">
        <v>64</v>
      </c>
      <c r="B32" s="4">
        <f t="shared" ref="B32:B34" si="16">+K6+K18+K26</f>
        <v>5</v>
      </c>
      <c r="H32" s="4"/>
    </row>
    <row r="33" spans="1:8" ht="15.75" customHeight="1">
      <c r="A33" s="1" t="s">
        <v>65</v>
      </c>
      <c r="B33" s="4">
        <f t="shared" si="16"/>
        <v>15</v>
      </c>
      <c r="H33" s="4"/>
    </row>
    <row r="34" spans="1:8" ht="15.75" customHeight="1">
      <c r="A34" s="1" t="s">
        <v>66</v>
      </c>
      <c r="B34" s="4">
        <f t="shared" si="16"/>
        <v>11</v>
      </c>
      <c r="H34" s="4"/>
    </row>
    <row r="35" spans="1:8" ht="15.75" customHeight="1">
      <c r="A35" s="1" t="s">
        <v>67</v>
      </c>
      <c r="B35" s="4">
        <f>SUM(B32:B34)</f>
        <v>31</v>
      </c>
      <c r="H35" s="4"/>
    </row>
    <row r="36" spans="1:8" ht="15.75" customHeight="1">
      <c r="A36" s="1" t="s">
        <v>69</v>
      </c>
      <c r="B36" s="41">
        <f>+E13+E22+E29</f>
        <v>14250</v>
      </c>
      <c r="H36" s="4"/>
    </row>
    <row r="37" spans="1:8" ht="15.75" customHeight="1">
      <c r="A37" s="1" t="s">
        <v>70</v>
      </c>
      <c r="B37" s="41">
        <f>+H13+H22+H29</f>
        <v>316320</v>
      </c>
      <c r="H37" s="4"/>
    </row>
    <row r="38" spans="1:8" ht="15.75" customHeight="1">
      <c r="A38" s="1" t="s">
        <v>71</v>
      </c>
      <c r="B38" s="41">
        <f>+B37/950</f>
        <v>332.96842105263158</v>
      </c>
      <c r="H38" s="4"/>
    </row>
    <row r="39" spans="1:8" ht="15.75" customHeight="1">
      <c r="A39" s="1" t="s">
        <v>72</v>
      </c>
      <c r="B39" s="41">
        <f>+B38*3491</f>
        <v>1162392.7578947369</v>
      </c>
      <c r="H39" s="4"/>
    </row>
    <row r="40" spans="1:8" ht="15.75" customHeight="1">
      <c r="A40" s="1" t="s">
        <v>73</v>
      </c>
      <c r="B40" s="41">
        <f>+G13+G22+G29</f>
        <v>675</v>
      </c>
      <c r="H40" s="4"/>
    </row>
    <row r="41" spans="1:8" ht="15.75" customHeight="1">
      <c r="A41" s="1" t="s">
        <v>74</v>
      </c>
      <c r="B41" s="65">
        <v>310</v>
      </c>
      <c r="H41" s="4"/>
    </row>
    <row r="42" spans="1:8" ht="15.75" customHeight="1">
      <c r="A42" s="1" t="s">
        <v>76</v>
      </c>
      <c r="B42" s="65">
        <f>+B41*3491</f>
        <v>1082210</v>
      </c>
      <c r="H42" s="4"/>
    </row>
    <row r="43" spans="1:8" ht="15.75" customHeight="1">
      <c r="H43" s="4"/>
    </row>
    <row r="44" spans="1:8" ht="15.75" customHeight="1">
      <c r="B44" s="67" t="s">
        <v>77</v>
      </c>
      <c r="C44" s="67" t="s">
        <v>28</v>
      </c>
      <c r="D44" s="67" t="s">
        <v>79</v>
      </c>
    </row>
    <row r="45" spans="1:8" ht="15.75" customHeight="1">
      <c r="A45" s="1" t="s">
        <v>80</v>
      </c>
      <c r="B45" s="4">
        <v>15</v>
      </c>
      <c r="C45" s="4">
        <v>15</v>
      </c>
      <c r="D45" s="4">
        <v>15</v>
      </c>
    </row>
    <row r="46" spans="1:8" ht="15.75" customHeight="1">
      <c r="A46" s="1" t="s">
        <v>81</v>
      </c>
      <c r="B46" s="4">
        <v>24</v>
      </c>
      <c r="C46" s="4">
        <v>20</v>
      </c>
      <c r="D46" s="4">
        <v>22</v>
      </c>
    </row>
    <row r="47" spans="1:8" ht="15.75" customHeight="1">
      <c r="A47" s="1" t="s">
        <v>82</v>
      </c>
      <c r="B47" s="4">
        <v>15</v>
      </c>
      <c r="C47" s="4">
        <v>15</v>
      </c>
      <c r="D47" s="4">
        <v>15</v>
      </c>
    </row>
    <row r="48" spans="1:8" ht="15.75" customHeight="1">
      <c r="A48" s="1" t="s">
        <v>83</v>
      </c>
      <c r="B48" s="4">
        <v>20</v>
      </c>
      <c r="C48" s="4">
        <v>20</v>
      </c>
      <c r="D48" s="4">
        <v>20</v>
      </c>
    </row>
    <row r="49" spans="1:4" ht="15.75" customHeight="1">
      <c r="A49" s="1" t="s">
        <v>84</v>
      </c>
      <c r="B49" s="41">
        <v>20</v>
      </c>
      <c r="C49" s="41">
        <v>20</v>
      </c>
      <c r="D49" s="41">
        <v>20</v>
      </c>
    </row>
    <row r="50" spans="1:4" ht="15.75" customHeight="1">
      <c r="A50" s="1" t="s">
        <v>70</v>
      </c>
      <c r="B50" s="41">
        <v>316320</v>
      </c>
      <c r="C50" s="4">
        <v>273120</v>
      </c>
      <c r="D50" s="4">
        <v>294720</v>
      </c>
    </row>
    <row r="51" spans="1:4" ht="15.75" customHeight="1">
      <c r="A51" s="1" t="s">
        <v>71</v>
      </c>
      <c r="B51" s="41">
        <f t="shared" ref="B51:D51" si="17">+B50/950</f>
        <v>332.96842105263158</v>
      </c>
      <c r="C51" s="41">
        <f t="shared" si="17"/>
        <v>287.49473684210528</v>
      </c>
      <c r="D51" s="41">
        <f t="shared" si="17"/>
        <v>310.2315789473684</v>
      </c>
    </row>
    <row r="52" spans="1:4" ht="15.75" customHeight="1">
      <c r="A52" s="1" t="s">
        <v>72</v>
      </c>
      <c r="B52" s="41">
        <f t="shared" ref="B52:D52" si="18">+B51*3491</f>
        <v>1162392.7578947369</v>
      </c>
      <c r="C52" s="41">
        <f t="shared" si="18"/>
        <v>1003644.1263157895</v>
      </c>
      <c r="D52" s="41">
        <f t="shared" si="18"/>
        <v>1083018.442105263</v>
      </c>
    </row>
    <row r="53" spans="1:4" ht="15.75" customHeight="1">
      <c r="A53" s="1" t="s">
        <v>74</v>
      </c>
      <c r="B53" s="65">
        <v>310</v>
      </c>
      <c r="C53" s="65">
        <v>310</v>
      </c>
      <c r="D53" s="65">
        <v>310</v>
      </c>
    </row>
    <row r="54" spans="1:4" ht="15.75" customHeight="1">
      <c r="A54" s="1" t="s">
        <v>76</v>
      </c>
      <c r="B54" s="65">
        <f t="shared" ref="B54:D54" si="19">+B53*3491</f>
        <v>1082210</v>
      </c>
      <c r="C54" s="65">
        <f t="shared" si="19"/>
        <v>1082210</v>
      </c>
      <c r="D54" s="65">
        <f t="shared" si="19"/>
        <v>1082210</v>
      </c>
    </row>
    <row r="55" spans="1:4" ht="15.75" customHeight="1"/>
    <row r="56" spans="1:4" ht="15.75" customHeight="1"/>
    <row r="57" spans="1:4" ht="15.75" customHeight="1"/>
    <row r="58" spans="1:4" ht="15.75" customHeight="1"/>
    <row r="59" spans="1:4" ht="15.75" customHeight="1"/>
    <row r="60" spans="1:4" ht="15.75" customHeight="1"/>
    <row r="61" spans="1:4" ht="15.75" customHeight="1"/>
    <row r="62" spans="1:4" ht="15.75" customHeight="1"/>
    <row r="63" spans="1:4" ht="15.75" customHeight="1"/>
    <row r="64" spans="1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B4:H4"/>
    <mergeCell ref="B16:H16"/>
    <mergeCell ref="B24:H24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2" workbookViewId="0"/>
  </sheetViews>
  <sheetFormatPr baseColWidth="10" defaultColWidth="12.5703125" defaultRowHeight="15" customHeight="1" x14ac:dyDescent="0"/>
  <cols>
    <col min="1" max="1" width="15.7109375" customWidth="1"/>
    <col min="2" max="2" width="10.42578125" customWidth="1"/>
    <col min="3" max="3" width="9.42578125" customWidth="1"/>
    <col min="4" max="4" width="7.5703125" customWidth="1"/>
    <col min="5" max="5" width="9.42578125" customWidth="1"/>
    <col min="6" max="7" width="10.140625" customWidth="1"/>
    <col min="8" max="8" width="9.5703125" customWidth="1"/>
    <col min="9" max="9" width="12.5703125" customWidth="1"/>
    <col min="10" max="12" width="7.5703125" customWidth="1"/>
    <col min="13" max="13" width="16.140625" customWidth="1"/>
    <col min="14" max="14" width="10.42578125" customWidth="1"/>
    <col min="15" max="15" width="9.42578125" customWidth="1"/>
    <col min="16" max="18" width="7.5703125" customWidth="1"/>
    <col min="19" max="19" width="11" customWidth="1"/>
    <col min="20" max="20" width="11.140625" customWidth="1"/>
    <col min="21" max="21" width="11.85546875" customWidth="1"/>
    <col min="22" max="26" width="7.5703125" customWidth="1"/>
  </cols>
  <sheetData>
    <row r="1" spans="1:22" ht="14">
      <c r="A1" s="1" t="s">
        <v>0</v>
      </c>
      <c r="B1" s="217" t="str">
        <f>+'TPA - targets'!B1</f>
        <v>Fake School Board</v>
      </c>
      <c r="C1" s="175"/>
      <c r="D1" s="175"/>
      <c r="E1" s="175"/>
      <c r="F1" s="175"/>
      <c r="G1" s="175"/>
      <c r="H1" s="176"/>
      <c r="M1" s="1" t="s">
        <v>28</v>
      </c>
    </row>
    <row r="2" spans="1:22" ht="14">
      <c r="B2" s="7" t="str">
        <f>+'TPA - targets'!B2</f>
        <v>19-20</v>
      </c>
      <c r="C2" s="5"/>
      <c r="D2" s="5"/>
      <c r="E2" s="5"/>
      <c r="F2" s="5"/>
      <c r="G2" s="5"/>
      <c r="H2" s="4"/>
      <c r="N2" s="8" t="s">
        <v>12</v>
      </c>
      <c r="O2" s="21"/>
      <c r="P2" s="21"/>
      <c r="Q2" s="21"/>
      <c r="R2" s="21"/>
      <c r="S2" s="21"/>
      <c r="T2" s="21"/>
      <c r="U2" s="21"/>
      <c r="V2" s="23"/>
    </row>
    <row r="3" spans="1:22" ht="28">
      <c r="N3" s="25" t="s">
        <v>29</v>
      </c>
      <c r="O3" s="27" t="s">
        <v>16</v>
      </c>
      <c r="P3" s="29" t="s">
        <v>17</v>
      </c>
      <c r="Q3" s="25" t="s">
        <v>39</v>
      </c>
      <c r="R3" s="31" t="s">
        <v>40</v>
      </c>
      <c r="S3" s="31" t="s">
        <v>43</v>
      </c>
      <c r="T3" s="25" t="s">
        <v>44</v>
      </c>
      <c r="U3" s="25" t="s">
        <v>45</v>
      </c>
      <c r="V3" s="25" t="s">
        <v>46</v>
      </c>
    </row>
    <row r="4" spans="1:22" ht="14">
      <c r="M4" s="15" t="s">
        <v>47</v>
      </c>
      <c r="N4" s="18">
        <f>+'TPA - estimates ADE'!$D$6</f>
        <v>1</v>
      </c>
      <c r="O4" s="18">
        <f>+'TPA - estimates ADE'!$B$6</f>
        <v>180</v>
      </c>
      <c r="P4" s="36">
        <f>+'TPA - estimates ADE'!$C$6</f>
        <v>3</v>
      </c>
      <c r="Q4" s="18">
        <f t="shared" ref="Q4:Q14" si="0">+N4*O4*P4</f>
        <v>540</v>
      </c>
      <c r="R4" s="3">
        <v>32.5</v>
      </c>
      <c r="S4" s="39">
        <f t="shared" ref="S4:S14" si="1">+Q4*R4</f>
        <v>17550</v>
      </c>
      <c r="T4" s="39">
        <f t="shared" ref="T4:T14" si="2">+S4*0.04</f>
        <v>702</v>
      </c>
      <c r="U4" s="39">
        <f t="shared" ref="U4:U14" si="3">+S4+T4</f>
        <v>18252</v>
      </c>
      <c r="V4" s="39">
        <f t="shared" ref="V4:V8" si="4">+N4*1</f>
        <v>1</v>
      </c>
    </row>
    <row r="5" spans="1:22" ht="14">
      <c r="B5" s="218" t="s">
        <v>12</v>
      </c>
      <c r="C5" s="175"/>
      <c r="D5" s="175"/>
      <c r="E5" s="175"/>
      <c r="F5" s="175"/>
      <c r="G5" s="175"/>
      <c r="H5" s="175"/>
      <c r="I5" s="175"/>
      <c r="J5" s="176"/>
      <c r="M5" s="15" t="s">
        <v>52</v>
      </c>
      <c r="N5" s="18">
        <v>2</v>
      </c>
      <c r="O5" s="18">
        <f>+'TPA - estimates ADE'!$B$7</f>
        <v>180</v>
      </c>
      <c r="P5" s="36">
        <f>+'TPA - estimates ADE'!$C$7</f>
        <v>3</v>
      </c>
      <c r="Q5" s="18">
        <f t="shared" si="0"/>
        <v>1080</v>
      </c>
      <c r="R5" s="3">
        <v>32.5</v>
      </c>
      <c r="S5" s="39">
        <f t="shared" si="1"/>
        <v>35100</v>
      </c>
      <c r="T5" s="39">
        <f t="shared" si="2"/>
        <v>1404</v>
      </c>
      <c r="U5" s="39">
        <f t="shared" si="3"/>
        <v>36504</v>
      </c>
      <c r="V5" s="39">
        <f t="shared" si="4"/>
        <v>2</v>
      </c>
    </row>
    <row r="6" spans="1:22" ht="31.5" customHeight="1">
      <c r="B6" s="25" t="s">
        <v>29</v>
      </c>
      <c r="C6" s="27" t="s">
        <v>16</v>
      </c>
      <c r="D6" s="29" t="s">
        <v>17</v>
      </c>
      <c r="E6" s="25" t="s">
        <v>39</v>
      </c>
      <c r="F6" s="31" t="s">
        <v>40</v>
      </c>
      <c r="G6" s="31" t="s">
        <v>43</v>
      </c>
      <c r="H6" s="25" t="s">
        <v>44</v>
      </c>
      <c r="I6" s="25" t="s">
        <v>45</v>
      </c>
      <c r="J6" s="25" t="s">
        <v>46</v>
      </c>
      <c r="M6" s="15" t="s">
        <v>55</v>
      </c>
      <c r="N6" s="18">
        <v>3</v>
      </c>
      <c r="O6" s="18">
        <f>+'TPA - estimates ADE'!$B$7</f>
        <v>180</v>
      </c>
      <c r="P6" s="36">
        <f>+'TPA - estimates ADE'!$C$7</f>
        <v>3</v>
      </c>
      <c r="Q6" s="18">
        <f t="shared" si="0"/>
        <v>1620</v>
      </c>
      <c r="R6" s="3">
        <v>30.3</v>
      </c>
      <c r="S6" s="39">
        <f t="shared" si="1"/>
        <v>49086</v>
      </c>
      <c r="T6" s="39">
        <f t="shared" si="2"/>
        <v>1963.44</v>
      </c>
      <c r="U6" s="39">
        <f t="shared" si="3"/>
        <v>51049.440000000002</v>
      </c>
      <c r="V6" s="39">
        <f t="shared" si="4"/>
        <v>3</v>
      </c>
    </row>
    <row r="7" spans="1:22" ht="14">
      <c r="A7" s="15" t="s">
        <v>24</v>
      </c>
      <c r="B7" s="18">
        <f>+'TPA - estimates ADE'!$D$6</f>
        <v>1</v>
      </c>
      <c r="C7" s="18">
        <f>+'TPA - estimates ADE'!$B$6</f>
        <v>180</v>
      </c>
      <c r="D7" s="36">
        <f>+'TPA - estimates ADE'!$C$6</f>
        <v>3</v>
      </c>
      <c r="E7" s="18">
        <f t="shared" ref="E7:E13" si="5">+B7*C7*D7</f>
        <v>540</v>
      </c>
      <c r="F7" s="3">
        <v>30.3</v>
      </c>
      <c r="G7" s="39">
        <f t="shared" ref="G7:G13" si="6">+E7*F7</f>
        <v>16362</v>
      </c>
      <c r="H7" s="39">
        <f t="shared" ref="H7:H13" si="7">+G7*0.04</f>
        <v>654.48</v>
      </c>
      <c r="I7" s="39">
        <f t="shared" ref="I7:I13" si="8">+G7+H7</f>
        <v>17016.48</v>
      </c>
      <c r="J7" s="39">
        <f t="shared" ref="J7:J9" si="9">+B7*1</f>
        <v>1</v>
      </c>
      <c r="M7" s="15" t="s">
        <v>61</v>
      </c>
      <c r="N7" s="18">
        <v>3</v>
      </c>
      <c r="O7" s="18">
        <f>+'TPA - estimates ADE'!$B$8</f>
        <v>180</v>
      </c>
      <c r="P7" s="36">
        <f>+'TPA - estimates ADE'!$C$8</f>
        <v>3</v>
      </c>
      <c r="Q7" s="18">
        <f t="shared" si="0"/>
        <v>1620</v>
      </c>
      <c r="R7" s="3">
        <v>32.5</v>
      </c>
      <c r="S7" s="39">
        <f t="shared" si="1"/>
        <v>52650</v>
      </c>
      <c r="T7" s="39">
        <f t="shared" si="2"/>
        <v>2106</v>
      </c>
      <c r="U7" s="39">
        <f t="shared" si="3"/>
        <v>54756</v>
      </c>
      <c r="V7" s="39">
        <f t="shared" si="4"/>
        <v>3</v>
      </c>
    </row>
    <row r="8" spans="1:22" ht="14">
      <c r="A8" s="15" t="s">
        <v>31</v>
      </c>
      <c r="B8" s="18">
        <f>+'TPA - estimates ADE'!$D$7</f>
        <v>5</v>
      </c>
      <c r="C8" s="18">
        <f>+'TPA - estimates ADE'!$B$7</f>
        <v>180</v>
      </c>
      <c r="D8" s="36">
        <f>+'TPA - estimates ADE'!$C$7</f>
        <v>3</v>
      </c>
      <c r="E8" s="18">
        <f t="shared" si="5"/>
        <v>2700</v>
      </c>
      <c r="F8" s="3">
        <v>30.3</v>
      </c>
      <c r="G8" s="39">
        <f t="shared" si="6"/>
        <v>81810</v>
      </c>
      <c r="H8" s="39">
        <f t="shared" si="7"/>
        <v>3272.4</v>
      </c>
      <c r="I8" s="39">
        <f t="shared" si="8"/>
        <v>85082.4</v>
      </c>
      <c r="J8" s="39">
        <f t="shared" si="9"/>
        <v>5</v>
      </c>
      <c r="M8" s="15" t="s">
        <v>63</v>
      </c>
      <c r="N8" s="18">
        <v>2</v>
      </c>
      <c r="O8" s="18">
        <f>+'TPA - estimates ADE'!$B$8</f>
        <v>180</v>
      </c>
      <c r="P8" s="36">
        <f>+'TPA - estimates ADE'!$C$8</f>
        <v>3</v>
      </c>
      <c r="Q8" s="18">
        <f t="shared" si="0"/>
        <v>1080</v>
      </c>
      <c r="R8" s="3">
        <v>30.3</v>
      </c>
      <c r="S8" s="39">
        <f t="shared" si="1"/>
        <v>32724</v>
      </c>
      <c r="T8" s="39">
        <f t="shared" si="2"/>
        <v>1308.96</v>
      </c>
      <c r="U8" s="39">
        <f t="shared" si="3"/>
        <v>34032.959999999999</v>
      </c>
      <c r="V8" s="39">
        <f t="shared" si="4"/>
        <v>2</v>
      </c>
    </row>
    <row r="9" spans="1:22" ht="14">
      <c r="A9" s="15" t="s">
        <v>33</v>
      </c>
      <c r="B9" s="18">
        <f>+'TPA - estimates ADE'!$D$8</f>
        <v>5</v>
      </c>
      <c r="C9" s="18">
        <f>+'TPA - estimates ADE'!$B$8</f>
        <v>180</v>
      </c>
      <c r="D9" s="36">
        <f>+'TPA - estimates ADE'!$C$8</f>
        <v>3</v>
      </c>
      <c r="E9" s="18">
        <f t="shared" si="5"/>
        <v>2700</v>
      </c>
      <c r="F9" s="3">
        <v>30.3</v>
      </c>
      <c r="G9" s="39">
        <f t="shared" si="6"/>
        <v>81810</v>
      </c>
      <c r="H9" s="39">
        <f t="shared" si="7"/>
        <v>3272.4</v>
      </c>
      <c r="I9" s="39">
        <f t="shared" si="8"/>
        <v>85082.4</v>
      </c>
      <c r="J9" s="39">
        <f t="shared" si="9"/>
        <v>5</v>
      </c>
      <c r="M9" s="15" t="s">
        <v>75</v>
      </c>
      <c r="N9" s="18">
        <f>+'TPA - estimates ADE'!$D$9</f>
        <v>1</v>
      </c>
      <c r="O9" s="18">
        <f>+'TPA - estimates ADE'!$B$9</f>
        <v>72</v>
      </c>
      <c r="P9" s="36">
        <f>+'TPA - estimates ADE'!$C$9</f>
        <v>3</v>
      </c>
      <c r="Q9" s="18">
        <f t="shared" si="0"/>
        <v>216</v>
      </c>
      <c r="R9" s="3">
        <v>30.3</v>
      </c>
      <c r="S9" s="39">
        <f t="shared" si="1"/>
        <v>6544.8</v>
      </c>
      <c r="T9" s="39">
        <f t="shared" si="2"/>
        <v>261.79200000000003</v>
      </c>
      <c r="U9" s="39">
        <f t="shared" si="3"/>
        <v>6806.5920000000006</v>
      </c>
      <c r="V9" s="39">
        <f t="shared" ref="V9:V12" si="10">+N9*(6/15)</f>
        <v>0.4</v>
      </c>
    </row>
    <row r="10" spans="1:22" ht="14">
      <c r="A10" s="15" t="s">
        <v>36</v>
      </c>
      <c r="B10" s="18">
        <f>+'TPA - estimates ADE'!$D$9</f>
        <v>1</v>
      </c>
      <c r="C10" s="18">
        <f>+'TPA - estimates ADE'!$B$9</f>
        <v>72</v>
      </c>
      <c r="D10" s="36">
        <f>+'TPA - estimates ADE'!$C$9</f>
        <v>3</v>
      </c>
      <c r="E10" s="18">
        <f t="shared" si="5"/>
        <v>216</v>
      </c>
      <c r="F10" s="3">
        <v>30.3</v>
      </c>
      <c r="G10" s="39">
        <f t="shared" si="6"/>
        <v>6544.8</v>
      </c>
      <c r="H10" s="39">
        <f t="shared" si="7"/>
        <v>261.79200000000003</v>
      </c>
      <c r="I10" s="39">
        <f t="shared" si="8"/>
        <v>6806.5920000000006</v>
      </c>
      <c r="J10" s="39">
        <f t="shared" ref="J10:J12" si="11">+B10*(6/15)</f>
        <v>0.4</v>
      </c>
      <c r="M10" s="15" t="s">
        <v>85</v>
      </c>
      <c r="N10" s="18">
        <v>1</v>
      </c>
      <c r="O10" s="18">
        <f>+'TPA - estimates ADE'!$B$10</f>
        <v>72</v>
      </c>
      <c r="P10" s="36">
        <f>+'TPA - estimates ADE'!$C$10</f>
        <v>3</v>
      </c>
      <c r="Q10" s="18">
        <f t="shared" si="0"/>
        <v>216</v>
      </c>
      <c r="R10" s="3">
        <v>32.5</v>
      </c>
      <c r="S10" s="39">
        <f t="shared" si="1"/>
        <v>7020</v>
      </c>
      <c r="T10" s="39">
        <f t="shared" si="2"/>
        <v>280.8</v>
      </c>
      <c r="U10" s="39">
        <f t="shared" si="3"/>
        <v>7300.8</v>
      </c>
      <c r="V10" s="39">
        <f t="shared" si="10"/>
        <v>0.4</v>
      </c>
    </row>
    <row r="11" spans="1:22" ht="14">
      <c r="A11" s="15" t="s">
        <v>37</v>
      </c>
      <c r="B11" s="18">
        <f>+'TPA - estimates ADE'!$D$10</f>
        <v>2</v>
      </c>
      <c r="C11" s="18">
        <f>+'TPA - estimates ADE'!$B$10</f>
        <v>72</v>
      </c>
      <c r="D11" s="36">
        <f>+'TPA - estimates ADE'!$C$10</f>
        <v>3</v>
      </c>
      <c r="E11" s="18">
        <f t="shared" si="5"/>
        <v>432</v>
      </c>
      <c r="F11" s="3">
        <v>30.3</v>
      </c>
      <c r="G11" s="39">
        <f t="shared" si="6"/>
        <v>13089.6</v>
      </c>
      <c r="H11" s="39">
        <f t="shared" si="7"/>
        <v>523.58400000000006</v>
      </c>
      <c r="I11" s="39">
        <f t="shared" si="8"/>
        <v>13613.184000000001</v>
      </c>
      <c r="J11" s="39">
        <f t="shared" si="11"/>
        <v>0.8</v>
      </c>
      <c r="M11" s="15" t="s">
        <v>87</v>
      </c>
      <c r="N11" s="18">
        <v>1</v>
      </c>
      <c r="O11" s="18">
        <f>+'TPA - estimates ADE'!$B$10</f>
        <v>72</v>
      </c>
      <c r="P11" s="36">
        <f>+'TPA - estimates ADE'!$C$10</f>
        <v>3</v>
      </c>
      <c r="Q11" s="18">
        <f t="shared" si="0"/>
        <v>216</v>
      </c>
      <c r="R11" s="3">
        <v>30.3</v>
      </c>
      <c r="S11" s="39">
        <f t="shared" si="1"/>
        <v>6544.8</v>
      </c>
      <c r="T11" s="39">
        <f t="shared" si="2"/>
        <v>261.79200000000003</v>
      </c>
      <c r="U11" s="39">
        <f t="shared" si="3"/>
        <v>6806.5920000000006</v>
      </c>
      <c r="V11" s="39">
        <f t="shared" si="10"/>
        <v>0.4</v>
      </c>
    </row>
    <row r="12" spans="1:22" ht="14">
      <c r="A12" s="15" t="s">
        <v>38</v>
      </c>
      <c r="B12" s="18">
        <f>+'TPA - estimates ADE'!$D$11</f>
        <v>1</v>
      </c>
      <c r="C12" s="18">
        <f>+'TPA - estimates ADE'!$B$11</f>
        <v>72</v>
      </c>
      <c r="D12" s="36">
        <f>+'TPA - estimates ADE'!$C$11</f>
        <v>3</v>
      </c>
      <c r="E12" s="18">
        <f t="shared" si="5"/>
        <v>216</v>
      </c>
      <c r="F12" s="3">
        <v>30.3</v>
      </c>
      <c r="G12" s="39">
        <f t="shared" si="6"/>
        <v>6544.8</v>
      </c>
      <c r="H12" s="39">
        <f t="shared" si="7"/>
        <v>261.79200000000003</v>
      </c>
      <c r="I12" s="39">
        <f t="shared" si="8"/>
        <v>6806.5920000000006</v>
      </c>
      <c r="J12" s="39">
        <f t="shared" si="11"/>
        <v>0.4</v>
      </c>
      <c r="M12" s="15" t="s">
        <v>89</v>
      </c>
      <c r="N12" s="18">
        <f>+'TPA - estimates ADE'!$D$11</f>
        <v>1</v>
      </c>
      <c r="O12" s="18">
        <f>+'TPA - estimates ADE'!$B$11</f>
        <v>72</v>
      </c>
      <c r="P12" s="36">
        <f>+'TPA - estimates ADE'!$C$11</f>
        <v>3</v>
      </c>
      <c r="Q12" s="18">
        <f t="shared" si="0"/>
        <v>216</v>
      </c>
      <c r="R12" s="3">
        <v>30.3</v>
      </c>
      <c r="S12" s="39">
        <f t="shared" si="1"/>
        <v>6544.8</v>
      </c>
      <c r="T12" s="39">
        <f t="shared" si="2"/>
        <v>261.79200000000003</v>
      </c>
      <c r="U12" s="39">
        <f t="shared" si="3"/>
        <v>6806.5920000000006</v>
      </c>
      <c r="V12" s="39">
        <f t="shared" si="10"/>
        <v>0.4</v>
      </c>
    </row>
    <row r="13" spans="1:22" ht="14">
      <c r="A13" s="15" t="s">
        <v>41</v>
      </c>
      <c r="B13" s="18">
        <f>+'TPA - estimates ADE'!$D$12</f>
        <v>2</v>
      </c>
      <c r="C13" s="18">
        <f>+'TPA - estimates ADE'!$B$12</f>
        <v>35</v>
      </c>
      <c r="D13" s="36">
        <f>+'TPA - estimates ADE'!$C$12</f>
        <v>3</v>
      </c>
      <c r="E13" s="18">
        <f t="shared" si="5"/>
        <v>210</v>
      </c>
      <c r="F13" s="3">
        <v>30.3</v>
      </c>
      <c r="G13" s="39">
        <f t="shared" si="6"/>
        <v>6363</v>
      </c>
      <c r="H13" s="39">
        <f t="shared" si="7"/>
        <v>254.52</v>
      </c>
      <c r="I13" s="39">
        <f t="shared" si="8"/>
        <v>6617.52</v>
      </c>
      <c r="J13" s="39">
        <f>+B13*(3/15)</f>
        <v>0.4</v>
      </c>
      <c r="M13" s="15" t="s">
        <v>93</v>
      </c>
      <c r="N13" s="18">
        <v>1</v>
      </c>
      <c r="O13" s="18">
        <f>+'TPA - estimates ADE'!$B$12</f>
        <v>35</v>
      </c>
      <c r="P13" s="36">
        <f>+'TPA - estimates ADE'!$C$12</f>
        <v>3</v>
      </c>
      <c r="Q13" s="18">
        <f t="shared" si="0"/>
        <v>105</v>
      </c>
      <c r="R13" s="3">
        <v>32.5</v>
      </c>
      <c r="S13" s="39">
        <f t="shared" si="1"/>
        <v>3412.5</v>
      </c>
      <c r="T13" s="39">
        <f t="shared" si="2"/>
        <v>136.5</v>
      </c>
      <c r="U13" s="39">
        <f t="shared" si="3"/>
        <v>3549</v>
      </c>
      <c r="V13" s="39">
        <f t="shared" ref="V13:V14" si="12">+N13*(3/15)</f>
        <v>0.2</v>
      </c>
    </row>
    <row r="14" spans="1:22" ht="14">
      <c r="A14" s="15"/>
      <c r="B14" s="34">
        <f>SUM(B7:B13)</f>
        <v>17</v>
      </c>
      <c r="C14" s="34"/>
      <c r="D14" s="34"/>
      <c r="E14" s="34">
        <f>SUM(E7:E13)</f>
        <v>7014</v>
      </c>
      <c r="F14" s="34"/>
      <c r="G14" s="90">
        <f t="shared" ref="G14:J14" si="13">SUM(G7:G13)</f>
        <v>212524.19999999998</v>
      </c>
      <c r="H14" s="90">
        <f t="shared" si="13"/>
        <v>8500.9680000000008</v>
      </c>
      <c r="I14" s="90">
        <f t="shared" si="13"/>
        <v>221025.16799999998</v>
      </c>
      <c r="J14" s="90">
        <f t="shared" si="13"/>
        <v>13.000000000000002</v>
      </c>
      <c r="M14" s="15" t="s">
        <v>95</v>
      </c>
      <c r="N14" s="18">
        <v>1</v>
      </c>
      <c r="O14" s="18">
        <f>+'TPA - estimates ADE'!$B$12</f>
        <v>35</v>
      </c>
      <c r="P14" s="36">
        <f>+'TPA - estimates ADE'!$C$12</f>
        <v>3</v>
      </c>
      <c r="Q14" s="18">
        <f t="shared" si="0"/>
        <v>105</v>
      </c>
      <c r="R14" s="3">
        <v>30.3</v>
      </c>
      <c r="S14" s="39">
        <f t="shared" si="1"/>
        <v>3181.5</v>
      </c>
      <c r="T14" s="39">
        <f t="shared" si="2"/>
        <v>127.26</v>
      </c>
      <c r="U14" s="39">
        <f t="shared" si="3"/>
        <v>3308.76</v>
      </c>
      <c r="V14" s="39">
        <f t="shared" si="12"/>
        <v>0.2</v>
      </c>
    </row>
    <row r="15" spans="1:22" ht="14">
      <c r="M15" s="15"/>
      <c r="N15" s="34">
        <f>SUM(N4:N14)</f>
        <v>17</v>
      </c>
      <c r="O15" s="34"/>
      <c r="P15" s="34"/>
      <c r="Q15" s="34">
        <f>SUM(Q4:Q14)</f>
        <v>7014</v>
      </c>
      <c r="R15" s="34"/>
      <c r="S15" s="90">
        <f t="shared" ref="S15:V15" si="14">SUM(S4:S14)</f>
        <v>220358.39999999997</v>
      </c>
      <c r="T15" s="90">
        <f t="shared" si="14"/>
        <v>8814.3360000000011</v>
      </c>
      <c r="U15" s="90">
        <f t="shared" si="14"/>
        <v>229172.736</v>
      </c>
      <c r="V15" s="90">
        <f t="shared" si="14"/>
        <v>13</v>
      </c>
    </row>
    <row r="17" spans="1:26" ht="14">
      <c r="A17" s="15"/>
      <c r="B17" s="218" t="s">
        <v>51</v>
      </c>
      <c r="C17" s="175"/>
      <c r="D17" s="175"/>
      <c r="E17" s="175"/>
      <c r="F17" s="175"/>
      <c r="G17" s="175"/>
      <c r="H17" s="175"/>
      <c r="I17" s="175"/>
      <c r="J17" s="176"/>
      <c r="M17" s="15"/>
      <c r="N17" s="218" t="s">
        <v>51</v>
      </c>
      <c r="O17" s="175"/>
      <c r="P17" s="175"/>
      <c r="Q17" s="175"/>
      <c r="R17" s="175"/>
      <c r="S17" s="175"/>
      <c r="T17" s="175"/>
      <c r="U17" s="175"/>
      <c r="V17" s="176"/>
    </row>
    <row r="18" spans="1:26" ht="28">
      <c r="A18" s="15"/>
      <c r="B18" s="25" t="s">
        <v>29</v>
      </c>
      <c r="C18" s="27" t="s">
        <v>16</v>
      </c>
      <c r="D18" s="29" t="s">
        <v>17</v>
      </c>
      <c r="E18" s="25" t="s">
        <v>39</v>
      </c>
      <c r="F18" s="31" t="s">
        <v>40</v>
      </c>
      <c r="G18" s="31" t="s">
        <v>43</v>
      </c>
      <c r="H18" s="25" t="s">
        <v>44</v>
      </c>
      <c r="I18" s="25" t="s">
        <v>45</v>
      </c>
      <c r="J18" s="25" t="s">
        <v>46</v>
      </c>
      <c r="M18" s="15"/>
      <c r="N18" s="25" t="s">
        <v>29</v>
      </c>
      <c r="O18" s="27" t="s">
        <v>16</v>
      </c>
      <c r="P18" s="29" t="s">
        <v>17</v>
      </c>
      <c r="Q18" s="25" t="s">
        <v>39</v>
      </c>
      <c r="R18" s="31" t="s">
        <v>40</v>
      </c>
      <c r="S18" s="31" t="s">
        <v>43</v>
      </c>
      <c r="T18" s="25" t="s">
        <v>44</v>
      </c>
      <c r="U18" s="25" t="s">
        <v>45</v>
      </c>
      <c r="V18" s="25" t="s">
        <v>46</v>
      </c>
    </row>
    <row r="19" spans="1:26" ht="14">
      <c r="A19" s="15" t="s">
        <v>24</v>
      </c>
      <c r="B19" s="18">
        <f>+'TPA - estimates ADE'!$D$18</f>
        <v>2</v>
      </c>
      <c r="C19" s="18">
        <f>+'TPA - estimates ADE'!$B$18</f>
        <v>180</v>
      </c>
      <c r="D19" s="36">
        <f>+'TPA - estimates ADE'!$C$18</f>
        <v>3</v>
      </c>
      <c r="E19" s="18">
        <f t="shared" ref="E19:E22" si="15">+B19*C19*D19</f>
        <v>1080</v>
      </c>
      <c r="F19" s="3">
        <v>30.3</v>
      </c>
      <c r="G19" s="39">
        <f t="shared" ref="G19:G22" si="16">+E19*F19</f>
        <v>32724</v>
      </c>
      <c r="H19" s="39">
        <f t="shared" ref="H19:H22" si="17">+G19*0.04</f>
        <v>1308.96</v>
      </c>
      <c r="I19" s="39">
        <f t="shared" ref="I19:I22" si="18">+G19+H19</f>
        <v>34032.959999999999</v>
      </c>
      <c r="J19" s="39">
        <f t="shared" ref="J19:J21" si="19">+B19*1</f>
        <v>2</v>
      </c>
      <c r="M19" s="15" t="s">
        <v>47</v>
      </c>
      <c r="N19" s="18">
        <v>1</v>
      </c>
      <c r="O19" s="18">
        <f>+'TPA - estimates ADE'!$B$18</f>
        <v>180</v>
      </c>
      <c r="P19" s="36">
        <f>+'TPA - estimates ADE'!$C$18</f>
        <v>3</v>
      </c>
      <c r="Q19" s="18">
        <f t="shared" ref="Q19:Q25" si="20">+N19*O19*P19</f>
        <v>540</v>
      </c>
      <c r="R19" s="3">
        <v>32.5</v>
      </c>
      <c r="S19" s="39">
        <f t="shared" ref="S19:S25" si="21">+Q19*R19</f>
        <v>17550</v>
      </c>
      <c r="T19" s="39">
        <f t="shared" ref="T19:T25" si="22">+S19*0.04</f>
        <v>702</v>
      </c>
      <c r="U19" s="39">
        <f t="shared" ref="U19:U25" si="23">+S19+T19</f>
        <v>18252</v>
      </c>
      <c r="V19" s="39">
        <f t="shared" ref="V19:V24" si="24">+N19*1</f>
        <v>1</v>
      </c>
    </row>
    <row r="20" spans="1:26" ht="14">
      <c r="A20" s="15" t="s">
        <v>31</v>
      </c>
      <c r="B20" s="18">
        <f>+'TPA - estimates ADE'!$D$19</f>
        <v>3</v>
      </c>
      <c r="C20" s="18">
        <f>+'TPA - estimates ADE'!$B$19</f>
        <v>180</v>
      </c>
      <c r="D20" s="36">
        <f>+'TPA - estimates ADE'!$C$19</f>
        <v>3</v>
      </c>
      <c r="E20" s="18">
        <f t="shared" si="15"/>
        <v>1620</v>
      </c>
      <c r="F20" s="3">
        <v>30.3</v>
      </c>
      <c r="G20" s="39">
        <f t="shared" si="16"/>
        <v>49086</v>
      </c>
      <c r="H20" s="39">
        <f t="shared" si="17"/>
        <v>1963.44</v>
      </c>
      <c r="I20" s="39">
        <f t="shared" si="18"/>
        <v>51049.440000000002</v>
      </c>
      <c r="J20" s="39">
        <f t="shared" si="19"/>
        <v>3</v>
      </c>
      <c r="M20" s="15" t="s">
        <v>103</v>
      </c>
      <c r="N20" s="91">
        <v>1</v>
      </c>
      <c r="O20" s="91">
        <f>+'TPA - estimates ADE'!$B$18</f>
        <v>180</v>
      </c>
      <c r="P20" s="111">
        <f>+'TPA - estimates ADE'!$C$18</f>
        <v>3</v>
      </c>
      <c r="Q20" s="91">
        <f t="shared" si="20"/>
        <v>540</v>
      </c>
      <c r="R20" s="117">
        <v>30.3</v>
      </c>
      <c r="S20" s="95">
        <f t="shared" si="21"/>
        <v>16362</v>
      </c>
      <c r="T20" s="95">
        <f t="shared" si="22"/>
        <v>654.48</v>
      </c>
      <c r="U20" s="95">
        <f t="shared" si="23"/>
        <v>17016.48</v>
      </c>
      <c r="V20" s="95">
        <f t="shared" si="24"/>
        <v>1</v>
      </c>
    </row>
    <row r="21" spans="1:26" ht="15.75" customHeight="1">
      <c r="A21" s="15" t="s">
        <v>33</v>
      </c>
      <c r="B21" s="18">
        <f>+'TPA - estimates ADE'!$D$20</f>
        <v>4</v>
      </c>
      <c r="C21" s="18">
        <f>+'TPA - estimates ADE'!$B$20</f>
        <v>180</v>
      </c>
      <c r="D21" s="36">
        <f>+'TPA - estimates ADE'!$C$20</f>
        <v>3</v>
      </c>
      <c r="E21" s="18">
        <f t="shared" si="15"/>
        <v>2160</v>
      </c>
      <c r="F21" s="3">
        <v>30.3</v>
      </c>
      <c r="G21" s="39">
        <f t="shared" si="16"/>
        <v>65448</v>
      </c>
      <c r="H21" s="39">
        <f t="shared" si="17"/>
        <v>2617.92</v>
      </c>
      <c r="I21" s="39">
        <f t="shared" si="18"/>
        <v>68065.919999999998</v>
      </c>
      <c r="J21" s="39">
        <f t="shared" si="19"/>
        <v>4</v>
      </c>
      <c r="M21" s="15" t="s">
        <v>52</v>
      </c>
      <c r="N21" s="18">
        <v>1</v>
      </c>
      <c r="O21" s="18">
        <f>+'TPA - estimates ADE'!$B$19</f>
        <v>180</v>
      </c>
      <c r="P21" s="36">
        <f>+'TPA - estimates ADE'!$C$19</f>
        <v>3</v>
      </c>
      <c r="Q21" s="18">
        <f t="shared" si="20"/>
        <v>540</v>
      </c>
      <c r="R21" s="3">
        <v>32.5</v>
      </c>
      <c r="S21" s="39">
        <f t="shared" si="21"/>
        <v>17550</v>
      </c>
      <c r="T21" s="39">
        <f t="shared" si="22"/>
        <v>702</v>
      </c>
      <c r="U21" s="39">
        <f t="shared" si="23"/>
        <v>18252</v>
      </c>
      <c r="V21" s="39">
        <f t="shared" si="24"/>
        <v>1</v>
      </c>
    </row>
    <row r="22" spans="1:26" ht="15.75" customHeight="1">
      <c r="A22" s="15" t="s">
        <v>37</v>
      </c>
      <c r="B22" s="18">
        <f>+'TPA - estimates ADE'!$D$21</f>
        <v>1</v>
      </c>
      <c r="C22" s="18">
        <f>+'TPA - estimates ADE'!$B$21</f>
        <v>72</v>
      </c>
      <c r="D22" s="36">
        <f>+'TPA - estimates ADE'!$C$21</f>
        <v>3</v>
      </c>
      <c r="E22" s="18">
        <f t="shared" si="15"/>
        <v>216</v>
      </c>
      <c r="F22" s="3">
        <v>30.3</v>
      </c>
      <c r="G22" s="39">
        <f t="shared" si="16"/>
        <v>6544.8</v>
      </c>
      <c r="H22" s="39">
        <f t="shared" si="17"/>
        <v>261.79200000000003</v>
      </c>
      <c r="I22" s="39">
        <f t="shared" si="18"/>
        <v>6806.5920000000006</v>
      </c>
      <c r="J22" s="39">
        <f>+B22*(6/15)</f>
        <v>0.4</v>
      </c>
      <c r="M22" s="15" t="s">
        <v>55</v>
      </c>
      <c r="N22" s="18">
        <v>2</v>
      </c>
      <c r="O22" s="18">
        <f>+'TPA - estimates ADE'!$B$19</f>
        <v>180</v>
      </c>
      <c r="P22" s="36">
        <f>+'TPA - estimates ADE'!$C$19</f>
        <v>3</v>
      </c>
      <c r="Q22" s="18">
        <f t="shared" si="20"/>
        <v>1080</v>
      </c>
      <c r="R22" s="3">
        <v>30.3</v>
      </c>
      <c r="S22" s="39">
        <f t="shared" si="21"/>
        <v>32724</v>
      </c>
      <c r="T22" s="39">
        <f t="shared" si="22"/>
        <v>1308.96</v>
      </c>
      <c r="U22" s="39">
        <f t="shared" si="23"/>
        <v>34032.959999999999</v>
      </c>
      <c r="V22" s="39">
        <f t="shared" si="24"/>
        <v>2</v>
      </c>
    </row>
    <row r="23" spans="1:26" ht="15.75" customHeight="1">
      <c r="A23" s="15"/>
      <c r="B23" s="34">
        <f>SUM(B19:B22)</f>
        <v>10</v>
      </c>
      <c r="C23" s="34"/>
      <c r="D23" s="34"/>
      <c r="E23" s="34">
        <f>SUM(E19:E22)</f>
        <v>5076</v>
      </c>
      <c r="F23" s="34"/>
      <c r="G23" s="90">
        <f t="shared" ref="G23:J23" si="25">SUM(G19:G22)</f>
        <v>153802.79999999999</v>
      </c>
      <c r="H23" s="90">
        <f t="shared" si="25"/>
        <v>6152.1120000000001</v>
      </c>
      <c r="I23" s="90">
        <f t="shared" si="25"/>
        <v>159954.91200000001</v>
      </c>
      <c r="J23" s="90">
        <f t="shared" si="25"/>
        <v>9.4</v>
      </c>
      <c r="M23" s="15" t="s">
        <v>61</v>
      </c>
      <c r="N23" s="18">
        <v>3</v>
      </c>
      <c r="O23" s="18">
        <f>+'TPA - estimates ADE'!$B$20</f>
        <v>180</v>
      </c>
      <c r="P23" s="36">
        <f>+'TPA - estimates ADE'!$C$20</f>
        <v>3</v>
      </c>
      <c r="Q23" s="18">
        <f t="shared" si="20"/>
        <v>1620</v>
      </c>
      <c r="R23" s="3">
        <v>32.5</v>
      </c>
      <c r="S23" s="39">
        <f t="shared" si="21"/>
        <v>52650</v>
      </c>
      <c r="T23" s="39">
        <f t="shared" si="22"/>
        <v>2106</v>
      </c>
      <c r="U23" s="39">
        <f t="shared" si="23"/>
        <v>54756</v>
      </c>
      <c r="V23" s="39">
        <f t="shared" si="24"/>
        <v>3</v>
      </c>
    </row>
    <row r="24" spans="1:26" ht="15" customHeight="1">
      <c r="A24" s="15"/>
      <c r="B24" s="15"/>
      <c r="C24" s="15"/>
      <c r="D24" s="15"/>
      <c r="E24" s="15"/>
      <c r="F24" s="15"/>
      <c r="G24" s="112"/>
      <c r="H24" s="112"/>
      <c r="I24" s="112"/>
      <c r="J24" s="112"/>
      <c r="K24" s="15"/>
      <c r="L24" s="15"/>
      <c r="M24" s="15" t="s">
        <v>63</v>
      </c>
      <c r="N24" s="18">
        <v>1</v>
      </c>
      <c r="O24" s="18">
        <f>+'TPA - estimates ADE'!$B$20</f>
        <v>180</v>
      </c>
      <c r="P24" s="36">
        <f>+'TPA - estimates ADE'!$C$20</f>
        <v>3</v>
      </c>
      <c r="Q24" s="18">
        <f t="shared" si="20"/>
        <v>540</v>
      </c>
      <c r="R24" s="3">
        <v>30.3</v>
      </c>
      <c r="S24" s="39">
        <f t="shared" si="21"/>
        <v>16362</v>
      </c>
      <c r="T24" s="39">
        <f t="shared" si="22"/>
        <v>654.48</v>
      </c>
      <c r="U24" s="39">
        <f t="shared" si="23"/>
        <v>17016.48</v>
      </c>
      <c r="V24" s="39">
        <f t="shared" si="24"/>
        <v>1</v>
      </c>
      <c r="W24" s="15"/>
      <c r="X24" s="15"/>
      <c r="Y24" s="15"/>
      <c r="Z24" s="15"/>
    </row>
    <row r="25" spans="1:26" ht="15.75" customHeight="1">
      <c r="M25" s="15" t="s">
        <v>85</v>
      </c>
      <c r="N25" s="18">
        <f>+'TPA - estimates ADE'!$D$21</f>
        <v>1</v>
      </c>
      <c r="O25" s="18">
        <f>+'TPA - estimates ADE'!$B$21</f>
        <v>72</v>
      </c>
      <c r="P25" s="36">
        <f>+'TPA - estimates ADE'!$C$21</f>
        <v>3</v>
      </c>
      <c r="Q25" s="18">
        <f t="shared" si="20"/>
        <v>216</v>
      </c>
      <c r="R25" s="3">
        <v>32.5</v>
      </c>
      <c r="S25" s="39">
        <f t="shared" si="21"/>
        <v>7020</v>
      </c>
      <c r="T25" s="39">
        <f t="shared" si="22"/>
        <v>280.8</v>
      </c>
      <c r="U25" s="39">
        <f t="shared" si="23"/>
        <v>7300.8</v>
      </c>
      <c r="V25" s="39">
        <f>+N25*(6/15)</f>
        <v>0.4</v>
      </c>
    </row>
    <row r="26" spans="1:26" ht="15.75" customHeight="1">
      <c r="M26" s="15"/>
      <c r="N26" s="34">
        <f>SUM(N19:N25)</f>
        <v>10</v>
      </c>
      <c r="O26" s="34"/>
      <c r="P26" s="34"/>
      <c r="Q26" s="34">
        <f>SUM(Q19:Q25)</f>
        <v>5076</v>
      </c>
      <c r="R26" s="34"/>
      <c r="S26" s="90">
        <f t="shared" ref="S26:V26" si="26">SUM(S19:S25)</f>
        <v>160218</v>
      </c>
      <c r="T26" s="90">
        <f t="shared" si="26"/>
        <v>6408.72</v>
      </c>
      <c r="U26" s="90">
        <f t="shared" si="26"/>
        <v>166626.72</v>
      </c>
      <c r="V26" s="90">
        <f t="shared" si="26"/>
        <v>9.4</v>
      </c>
    </row>
    <row r="27" spans="1:26" ht="15.75" customHeight="1">
      <c r="A27" s="15"/>
      <c r="B27" s="218" t="s">
        <v>58</v>
      </c>
      <c r="C27" s="175"/>
      <c r="D27" s="175"/>
      <c r="E27" s="175"/>
      <c r="F27" s="175"/>
      <c r="G27" s="175"/>
      <c r="H27" s="175"/>
      <c r="I27" s="175"/>
      <c r="J27" s="176"/>
      <c r="M27" s="15"/>
      <c r="N27" s="218" t="s">
        <v>58</v>
      </c>
      <c r="O27" s="175"/>
      <c r="P27" s="175"/>
      <c r="Q27" s="175"/>
      <c r="R27" s="175"/>
      <c r="S27" s="175"/>
      <c r="T27" s="175"/>
      <c r="U27" s="175"/>
      <c r="V27" s="176"/>
    </row>
    <row r="28" spans="1:26" ht="15.75" customHeight="1">
      <c r="A28" s="15"/>
      <c r="B28" s="25" t="s">
        <v>29</v>
      </c>
      <c r="C28" s="27" t="s">
        <v>16</v>
      </c>
      <c r="D28" s="29" t="s">
        <v>17</v>
      </c>
      <c r="E28" s="25" t="s">
        <v>39</v>
      </c>
      <c r="F28" s="31" t="s">
        <v>40</v>
      </c>
      <c r="G28" s="31" t="s">
        <v>43</v>
      </c>
      <c r="H28" s="25" t="s">
        <v>44</v>
      </c>
      <c r="I28" s="25" t="s">
        <v>45</v>
      </c>
      <c r="J28" s="25" t="s">
        <v>46</v>
      </c>
      <c r="M28" s="15"/>
      <c r="N28" s="25" t="s">
        <v>29</v>
      </c>
      <c r="O28" s="27" t="s">
        <v>16</v>
      </c>
      <c r="P28" s="29" t="s">
        <v>17</v>
      </c>
      <c r="Q28" s="25" t="s">
        <v>39</v>
      </c>
      <c r="R28" s="31" t="s">
        <v>40</v>
      </c>
      <c r="S28" s="31" t="s">
        <v>43</v>
      </c>
      <c r="T28" s="25" t="s">
        <v>44</v>
      </c>
      <c r="U28" s="25" t="s">
        <v>45</v>
      </c>
      <c r="V28" s="25" t="s">
        <v>46</v>
      </c>
    </row>
    <row r="29" spans="1:26" ht="15.75" customHeight="1">
      <c r="A29" s="15" t="s">
        <v>24</v>
      </c>
      <c r="B29" s="18">
        <f>+'TPA - estimates ADE'!$D$26</f>
        <v>1</v>
      </c>
      <c r="C29" s="18">
        <f>+'TPA - estimates ADE'!$B$26</f>
        <v>180</v>
      </c>
      <c r="D29" s="36">
        <f>+'TPA - estimates ADE'!$C$26</f>
        <v>3</v>
      </c>
      <c r="E29" s="18">
        <f t="shared" ref="E29:E31" si="27">+B29*C29*D29</f>
        <v>540</v>
      </c>
      <c r="F29" s="3">
        <v>30.3</v>
      </c>
      <c r="G29" s="39">
        <f t="shared" ref="G29:G31" si="28">+E29*F29</f>
        <v>16362</v>
      </c>
      <c r="H29" s="39">
        <f t="shared" ref="H29:H31" si="29">+G29*0.04</f>
        <v>654.48</v>
      </c>
      <c r="I29" s="39">
        <f t="shared" ref="I29:I31" si="30">+G29+H29</f>
        <v>17016.48</v>
      </c>
      <c r="J29" s="39">
        <f t="shared" ref="J29:J31" si="31">+B29*1</f>
        <v>1</v>
      </c>
      <c r="M29" s="15" t="s">
        <v>103</v>
      </c>
      <c r="N29" s="18">
        <f>+'TPA - estimates ADE'!$D$26</f>
        <v>1</v>
      </c>
      <c r="O29" s="18">
        <f>+'TPA - estimates ADE'!$B$26</f>
        <v>180</v>
      </c>
      <c r="P29" s="36">
        <f>+'TPA - estimates ADE'!$C$26</f>
        <v>3</v>
      </c>
      <c r="Q29" s="18">
        <f t="shared" ref="Q29:Q32" si="32">+N29*O29*P29</f>
        <v>540</v>
      </c>
      <c r="R29" s="3">
        <v>30.3</v>
      </c>
      <c r="S29" s="39">
        <f t="shared" ref="S29:S32" si="33">+Q29*R29</f>
        <v>16362</v>
      </c>
      <c r="T29" s="39">
        <f t="shared" ref="T29:T32" si="34">+S29*0.04</f>
        <v>654.48</v>
      </c>
      <c r="U29" s="39">
        <f t="shared" ref="U29:U32" si="35">+S29+T29</f>
        <v>17016.48</v>
      </c>
      <c r="V29" s="39">
        <f t="shared" ref="V29:V32" si="36">+N29*1</f>
        <v>1</v>
      </c>
    </row>
    <row r="30" spans="1:26" ht="15.75" customHeight="1">
      <c r="A30" s="15" t="s">
        <v>31</v>
      </c>
      <c r="B30" s="18">
        <f>+'TPA - estimates ADE'!$D$27</f>
        <v>2</v>
      </c>
      <c r="C30" s="18">
        <f>+'TPA - estimates ADE'!$B$27</f>
        <v>180</v>
      </c>
      <c r="D30" s="36">
        <f>+'TPA - estimates ADE'!$C$27</f>
        <v>3</v>
      </c>
      <c r="E30" s="18">
        <f t="shared" si="27"/>
        <v>1080</v>
      </c>
      <c r="F30" s="3">
        <v>30.3</v>
      </c>
      <c r="G30" s="39">
        <f t="shared" si="28"/>
        <v>32724</v>
      </c>
      <c r="H30" s="39">
        <f t="shared" si="29"/>
        <v>1308.96</v>
      </c>
      <c r="I30" s="39">
        <f t="shared" si="30"/>
        <v>34032.959999999999</v>
      </c>
      <c r="J30" s="39">
        <f t="shared" si="31"/>
        <v>2</v>
      </c>
      <c r="M30" s="15" t="s">
        <v>52</v>
      </c>
      <c r="N30" s="18">
        <v>1</v>
      </c>
      <c r="O30" s="18">
        <f>+'TPA - estimates ADE'!$B$27</f>
        <v>180</v>
      </c>
      <c r="P30" s="36">
        <f>+'TPA - estimates ADE'!$C$27</f>
        <v>3</v>
      </c>
      <c r="Q30" s="18">
        <f t="shared" si="32"/>
        <v>540</v>
      </c>
      <c r="R30" s="3">
        <v>32.5</v>
      </c>
      <c r="S30" s="39">
        <f t="shared" si="33"/>
        <v>17550</v>
      </c>
      <c r="T30" s="39">
        <f t="shared" si="34"/>
        <v>702</v>
      </c>
      <c r="U30" s="39">
        <f t="shared" si="35"/>
        <v>18252</v>
      </c>
      <c r="V30" s="39">
        <f t="shared" si="36"/>
        <v>1</v>
      </c>
    </row>
    <row r="31" spans="1:26" ht="15.75" customHeight="1">
      <c r="A31" s="15" t="s">
        <v>33</v>
      </c>
      <c r="B31" s="18">
        <f>+'TPA - estimates ADE'!$D$28</f>
        <v>1</v>
      </c>
      <c r="C31" s="18">
        <f>+'TPA - estimates ADE'!$B$28</f>
        <v>180</v>
      </c>
      <c r="D31" s="36">
        <f>+'TPA - estimates ADE'!$C$28</f>
        <v>3</v>
      </c>
      <c r="E31" s="18">
        <f t="shared" si="27"/>
        <v>540</v>
      </c>
      <c r="F31" s="3">
        <v>30.3</v>
      </c>
      <c r="G31" s="39">
        <f t="shared" si="28"/>
        <v>16362</v>
      </c>
      <c r="H31" s="39">
        <f t="shared" si="29"/>
        <v>654.48</v>
      </c>
      <c r="I31" s="39">
        <f t="shared" si="30"/>
        <v>17016.48</v>
      </c>
      <c r="J31" s="39">
        <f t="shared" si="31"/>
        <v>1</v>
      </c>
      <c r="M31" s="15" t="s">
        <v>55</v>
      </c>
      <c r="N31" s="18">
        <v>1</v>
      </c>
      <c r="O31" s="18">
        <f>+'TPA - estimates ADE'!$B$27</f>
        <v>180</v>
      </c>
      <c r="P31" s="36">
        <f>+'TPA - estimates ADE'!$C$27</f>
        <v>3</v>
      </c>
      <c r="Q31" s="18">
        <f t="shared" si="32"/>
        <v>540</v>
      </c>
      <c r="R31" s="3">
        <v>30.3</v>
      </c>
      <c r="S31" s="39">
        <f t="shared" si="33"/>
        <v>16362</v>
      </c>
      <c r="T31" s="39">
        <f t="shared" si="34"/>
        <v>654.48</v>
      </c>
      <c r="U31" s="39">
        <f t="shared" si="35"/>
        <v>17016.48</v>
      </c>
      <c r="V31" s="39">
        <f t="shared" si="36"/>
        <v>1</v>
      </c>
    </row>
    <row r="32" spans="1:26" ht="15.75" customHeight="1">
      <c r="A32" s="15"/>
      <c r="B32" s="34">
        <f>SUM(B29:B31)</f>
        <v>4</v>
      </c>
      <c r="C32" s="34"/>
      <c r="D32" s="34"/>
      <c r="E32" s="34">
        <f>SUM(E29:E31)</f>
        <v>2160</v>
      </c>
      <c r="F32" s="34"/>
      <c r="G32" s="90">
        <f t="shared" ref="G32:J32" si="37">SUM(G29:G31)</f>
        <v>65448</v>
      </c>
      <c r="H32" s="90">
        <f t="shared" si="37"/>
        <v>2617.92</v>
      </c>
      <c r="I32" s="90">
        <f t="shared" si="37"/>
        <v>68065.919999999998</v>
      </c>
      <c r="J32" s="90">
        <f t="shared" si="37"/>
        <v>4</v>
      </c>
      <c r="M32" s="15" t="s">
        <v>61</v>
      </c>
      <c r="N32" s="18">
        <f>+'TPA - estimates ADE'!$D$28</f>
        <v>1</v>
      </c>
      <c r="O32" s="18">
        <f>+'TPA - estimates ADE'!$B$28</f>
        <v>180</v>
      </c>
      <c r="P32" s="36">
        <f>+'TPA - estimates ADE'!$C$28</f>
        <v>3</v>
      </c>
      <c r="Q32" s="18">
        <f t="shared" si="32"/>
        <v>540</v>
      </c>
      <c r="R32" s="3">
        <v>32.5</v>
      </c>
      <c r="S32" s="39">
        <f t="shared" si="33"/>
        <v>17550</v>
      </c>
      <c r="T32" s="39">
        <f t="shared" si="34"/>
        <v>702</v>
      </c>
      <c r="U32" s="39">
        <f t="shared" si="35"/>
        <v>18252</v>
      </c>
      <c r="V32" s="39">
        <f t="shared" si="36"/>
        <v>1</v>
      </c>
    </row>
    <row r="33" spans="1:22" ht="15.75" customHeight="1">
      <c r="M33" s="15"/>
      <c r="N33" s="34">
        <f>SUM(N29:N32)</f>
        <v>4</v>
      </c>
      <c r="O33" s="34"/>
      <c r="P33" s="34"/>
      <c r="Q33" s="34">
        <f>SUM(Q29:Q32)</f>
        <v>2160</v>
      </c>
      <c r="R33" s="34"/>
      <c r="S33" s="90">
        <f t="shared" ref="S33:V33" si="38">SUM(S29:S32)</f>
        <v>67824</v>
      </c>
      <c r="T33" s="90">
        <f t="shared" si="38"/>
        <v>2712.96</v>
      </c>
      <c r="U33" s="90">
        <f t="shared" si="38"/>
        <v>70536.959999999992</v>
      </c>
      <c r="V33" s="90">
        <f t="shared" si="38"/>
        <v>4</v>
      </c>
    </row>
    <row r="34" spans="1:22" ht="15.75" customHeight="1">
      <c r="A34" s="15" t="s">
        <v>158</v>
      </c>
      <c r="B34" s="15"/>
      <c r="C34" s="15"/>
      <c r="E34" s="15"/>
      <c r="F34" s="15" t="s">
        <v>159</v>
      </c>
      <c r="G34" s="15"/>
      <c r="M34" s="15"/>
    </row>
    <row r="35" spans="1:22" ht="15.75" customHeight="1">
      <c r="A35" s="15"/>
      <c r="B35" s="143" t="s">
        <v>160</v>
      </c>
      <c r="C35" s="143" t="s">
        <v>161</v>
      </c>
      <c r="E35" s="15"/>
      <c r="F35" s="143" t="s">
        <v>160</v>
      </c>
      <c r="G35" s="143" t="s">
        <v>161</v>
      </c>
    </row>
    <row r="36" spans="1:22" ht="15.75" customHeight="1">
      <c r="A36" s="15" t="s">
        <v>45</v>
      </c>
      <c r="B36" s="144">
        <f>+$I$14+$I$23+$I$32</f>
        <v>449045.99999999994</v>
      </c>
      <c r="C36" s="144">
        <f>+B36*0.075</f>
        <v>33678.449999999997</v>
      </c>
      <c r="E36" s="15" t="s">
        <v>45</v>
      </c>
      <c r="F36" s="144">
        <f>+$U$15+$U$26+$U$33</f>
        <v>466336.41599999997</v>
      </c>
      <c r="G36" s="144">
        <f>+F36*0.075</f>
        <v>34975.231199999995</v>
      </c>
    </row>
    <row r="37" spans="1:22" ht="33.75" customHeight="1">
      <c r="A37" s="15" t="s">
        <v>121</v>
      </c>
      <c r="B37" s="112">
        <f t="shared" ref="B37:C37" si="39">+B36*0.0922</f>
        <v>41402.0412</v>
      </c>
      <c r="C37" s="112">
        <f t="shared" si="39"/>
        <v>3105.1530899999998</v>
      </c>
      <c r="E37" s="15" t="s">
        <v>121</v>
      </c>
      <c r="F37" s="112">
        <f t="shared" ref="F37:G37" si="40">+F36*0.0922</f>
        <v>42996.217555199997</v>
      </c>
      <c r="G37" s="112">
        <f t="shared" si="40"/>
        <v>3224.7163166399996</v>
      </c>
    </row>
    <row r="38" spans="1:22" ht="15.75" customHeight="1">
      <c r="A38" s="130" t="s">
        <v>123</v>
      </c>
      <c r="B38" s="145">
        <f>+B36*0.045</f>
        <v>20207.069999999996</v>
      </c>
      <c r="C38" s="145"/>
      <c r="E38" s="130" t="s">
        <v>123</v>
      </c>
      <c r="F38" s="145">
        <f>+F36*0.045</f>
        <v>20985.138719999999</v>
      </c>
      <c r="G38" s="145"/>
    </row>
    <row r="39" spans="1:22" ht="15.75" customHeight="1">
      <c r="A39" s="15" t="s">
        <v>125</v>
      </c>
      <c r="B39" s="112">
        <f>+B36*0.06+9</f>
        <v>26951.759999999995</v>
      </c>
      <c r="C39" s="112"/>
      <c r="E39" s="15" t="s">
        <v>125</v>
      </c>
      <c r="F39" s="112">
        <f>+F36*0.06</f>
        <v>27980.184959999999</v>
      </c>
      <c r="G39" s="112"/>
    </row>
    <row r="40" spans="1:22" ht="15.75" customHeight="1">
      <c r="A40" s="15" t="s">
        <v>126</v>
      </c>
      <c r="B40" s="144">
        <f t="shared" ref="B40:C40" si="41">+SUM(B37:B39)</f>
        <v>88560.871199999994</v>
      </c>
      <c r="C40" s="144">
        <f t="shared" si="41"/>
        <v>3105.1530899999998</v>
      </c>
      <c r="E40" s="15" t="s">
        <v>126</v>
      </c>
      <c r="F40" s="144">
        <f t="shared" ref="F40:G40" si="42">+SUM(F37:F39)</f>
        <v>91961.541235199998</v>
      </c>
      <c r="G40" s="144">
        <f t="shared" si="42"/>
        <v>3224.7163166399996</v>
      </c>
    </row>
    <row r="41" spans="1:22" ht="15.75" customHeight="1">
      <c r="A41" s="15"/>
      <c r="B41" s="15"/>
      <c r="C41" s="15"/>
      <c r="E41" s="15"/>
      <c r="F41" s="15"/>
      <c r="G41" s="15"/>
    </row>
    <row r="42" spans="1:22" ht="15.75" customHeight="1">
      <c r="A42" s="146" t="s">
        <v>168</v>
      </c>
      <c r="B42" s="147">
        <f>+$J$14+$J$23+$J$32</f>
        <v>26.400000000000002</v>
      </c>
      <c r="C42" s="147">
        <f>+K25+K34+K42</f>
        <v>0</v>
      </c>
      <c r="D42" s="146"/>
      <c r="E42" s="146" t="s">
        <v>168</v>
      </c>
      <c r="F42" s="147">
        <f>+$V$15+$V$26+$V$33</f>
        <v>26.4</v>
      </c>
      <c r="G42" s="147">
        <f>+W27+W36+W44</f>
        <v>0</v>
      </c>
    </row>
    <row r="43" spans="1:22" ht="15.75" customHeight="1">
      <c r="A43" s="146" t="s">
        <v>29</v>
      </c>
      <c r="B43" s="146">
        <f>+B14+B23+B32</f>
        <v>31</v>
      </c>
      <c r="C43" s="146"/>
      <c r="D43" s="146"/>
      <c r="E43" s="146"/>
      <c r="F43" s="146">
        <f>+N15+N26+N33</f>
        <v>31</v>
      </c>
      <c r="G43" s="146"/>
    </row>
    <row r="44" spans="1:22" ht="15.75" customHeight="1">
      <c r="A44" s="146" t="s">
        <v>170</v>
      </c>
      <c r="B44" s="146">
        <f>+E14+E23+E32</f>
        <v>14250</v>
      </c>
      <c r="C44" s="146"/>
      <c r="D44" s="146"/>
      <c r="E44" s="146"/>
      <c r="F44" s="146">
        <f>+Q15+Q26+Q33</f>
        <v>14250</v>
      </c>
      <c r="G44" s="146"/>
    </row>
    <row r="45" spans="1:22" ht="15.75" customHeight="1"/>
    <row r="46" spans="1:22" ht="30" customHeight="1"/>
    <row r="47" spans="1:22" ht="15.75" customHeight="1"/>
    <row r="48" spans="1:2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N17:V17"/>
    <mergeCell ref="N27:V27"/>
    <mergeCell ref="B1:H1"/>
    <mergeCell ref="B5:J5"/>
    <mergeCell ref="B17:J17"/>
    <mergeCell ref="B27:J27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19" workbookViewId="0"/>
  </sheetViews>
  <sheetFormatPr baseColWidth="10" defaultColWidth="12.5703125" defaultRowHeight="15" customHeight="1" x14ac:dyDescent="0"/>
  <cols>
    <col min="1" max="1" width="13.140625" customWidth="1"/>
    <col min="2" max="2" width="11" customWidth="1"/>
    <col min="3" max="3" width="10.42578125" customWidth="1"/>
    <col min="4" max="4" width="7.5703125" customWidth="1"/>
    <col min="5" max="5" width="11.42578125" customWidth="1"/>
    <col min="6" max="6" width="7.5703125" customWidth="1"/>
    <col min="7" max="7" width="8.7109375" customWidth="1"/>
    <col min="8" max="8" width="7.5703125" customWidth="1"/>
    <col min="9" max="9" width="9.140625" customWidth="1"/>
    <col min="10" max="26" width="7.5703125" customWidth="1"/>
  </cols>
  <sheetData>
    <row r="1" spans="1:10" ht="14">
      <c r="A1" s="1" t="s">
        <v>0</v>
      </c>
      <c r="B1" s="217" t="str">
        <f>+'TPA - targets'!B1</f>
        <v>Fake School Board</v>
      </c>
      <c r="C1" s="175"/>
      <c r="D1" s="175"/>
      <c r="E1" s="175"/>
      <c r="F1" s="175"/>
      <c r="G1" s="175"/>
      <c r="H1" s="176"/>
    </row>
    <row r="2" spans="1:10" ht="14">
      <c r="B2" s="7" t="str">
        <f>+'TPA - targets'!B2</f>
        <v>19-20</v>
      </c>
      <c r="C2" s="5"/>
      <c r="D2" s="5"/>
      <c r="E2" s="5"/>
      <c r="F2" s="5"/>
      <c r="G2" s="5"/>
      <c r="H2" s="4"/>
    </row>
    <row r="6" spans="1:10" ht="42">
      <c r="A6" s="82" t="s">
        <v>90</v>
      </c>
      <c r="B6" s="83" t="s">
        <v>92</v>
      </c>
      <c r="C6" s="84" t="s">
        <v>16</v>
      </c>
      <c r="D6" s="86" t="s">
        <v>17</v>
      </c>
      <c r="E6" s="83" t="s">
        <v>39</v>
      </c>
      <c r="F6" s="88" t="s">
        <v>40</v>
      </c>
      <c r="G6" s="88" t="s">
        <v>43</v>
      </c>
      <c r="H6" s="83" t="s">
        <v>44</v>
      </c>
      <c r="I6" s="83" t="s">
        <v>45</v>
      </c>
      <c r="J6" s="83" t="s">
        <v>46</v>
      </c>
    </row>
    <row r="7" spans="1:10" ht="14">
      <c r="A7" s="91" t="s">
        <v>94</v>
      </c>
      <c r="B7" s="91">
        <v>1</v>
      </c>
      <c r="C7" s="91">
        <v>60</v>
      </c>
      <c r="D7" s="91">
        <v>3</v>
      </c>
      <c r="E7" s="91">
        <f t="shared" ref="E7:E9" si="0">+B7*C7*D7</f>
        <v>180</v>
      </c>
      <c r="F7" s="16">
        <v>27.75</v>
      </c>
      <c r="G7" s="95">
        <f t="shared" ref="G7:G9" si="1">+E7*F7</f>
        <v>4995</v>
      </c>
      <c r="H7" s="95">
        <f t="shared" ref="H7:H9" si="2">+G7*0.04</f>
        <v>199.8</v>
      </c>
      <c r="I7" s="95">
        <f t="shared" ref="I7:I9" si="3">+G7+H7</f>
        <v>5194.8</v>
      </c>
      <c r="J7" s="18">
        <v>0.3</v>
      </c>
    </row>
    <row r="8" spans="1:10" ht="14">
      <c r="A8" s="91" t="s">
        <v>96</v>
      </c>
      <c r="B8" s="91">
        <v>1</v>
      </c>
      <c r="C8" s="91">
        <v>60</v>
      </c>
      <c r="D8" s="91">
        <v>3</v>
      </c>
      <c r="E8" s="91">
        <f t="shared" si="0"/>
        <v>180</v>
      </c>
      <c r="F8" s="16">
        <v>27.75</v>
      </c>
      <c r="G8" s="95">
        <f t="shared" si="1"/>
        <v>4995</v>
      </c>
      <c r="H8" s="95">
        <f t="shared" si="2"/>
        <v>199.8</v>
      </c>
      <c r="I8" s="95">
        <f t="shared" si="3"/>
        <v>5194.8</v>
      </c>
      <c r="J8" s="18">
        <v>0.3</v>
      </c>
    </row>
    <row r="9" spans="1:10" ht="14">
      <c r="A9" s="91" t="s">
        <v>98</v>
      </c>
      <c r="B9" s="91">
        <v>1</v>
      </c>
      <c r="C9" s="91">
        <v>60</v>
      </c>
      <c r="D9" s="91">
        <v>3</v>
      </c>
      <c r="E9" s="91">
        <f t="shared" si="0"/>
        <v>180</v>
      </c>
      <c r="F9" s="16">
        <v>27.75</v>
      </c>
      <c r="G9" s="95">
        <f t="shared" si="1"/>
        <v>4995</v>
      </c>
      <c r="H9" s="95">
        <f t="shared" si="2"/>
        <v>199.8</v>
      </c>
      <c r="I9" s="95">
        <f t="shared" si="3"/>
        <v>5194.8</v>
      </c>
      <c r="J9" s="18">
        <v>0.3</v>
      </c>
    </row>
    <row r="10" spans="1:10" ht="14">
      <c r="A10" s="15" t="s">
        <v>99</v>
      </c>
      <c r="I10" s="100">
        <f t="shared" ref="I10:J10" si="4">SUM(I7:I9)</f>
        <v>15584.400000000001</v>
      </c>
      <c r="J10" s="100">
        <f t="shared" si="4"/>
        <v>0.89999999999999991</v>
      </c>
    </row>
    <row r="11" spans="1:10" ht="14">
      <c r="A11" s="15"/>
      <c r="I11" s="103"/>
      <c r="J11" s="103"/>
    </row>
    <row r="13" spans="1:10" ht="28">
      <c r="A13" s="82" t="s">
        <v>100</v>
      </c>
      <c r="B13" s="83" t="s">
        <v>92</v>
      </c>
      <c r="C13" s="84" t="s">
        <v>16</v>
      </c>
      <c r="D13" s="86" t="s">
        <v>17</v>
      </c>
      <c r="E13" s="83" t="s">
        <v>39</v>
      </c>
      <c r="F13" s="88" t="s">
        <v>40</v>
      </c>
      <c r="G13" s="88" t="s">
        <v>43</v>
      </c>
      <c r="H13" s="83" t="s">
        <v>44</v>
      </c>
      <c r="I13" s="83" t="s">
        <v>45</v>
      </c>
      <c r="J13" s="83" t="s">
        <v>46</v>
      </c>
    </row>
    <row r="14" spans="1:10" ht="14">
      <c r="A14" s="15" t="s">
        <v>101</v>
      </c>
      <c r="B14" s="91">
        <v>1</v>
      </c>
      <c r="C14" s="91">
        <v>180</v>
      </c>
      <c r="D14" s="91">
        <v>5</v>
      </c>
      <c r="E14" s="91">
        <f>+C14*D14</f>
        <v>900</v>
      </c>
      <c r="F14" s="16">
        <v>32.5</v>
      </c>
      <c r="G14" s="95">
        <f>+E14*F14</f>
        <v>29250</v>
      </c>
      <c r="H14" s="95">
        <f>+G14*0.04</f>
        <v>1170</v>
      </c>
      <c r="I14" s="100">
        <f>+G14+H14</f>
        <v>30420</v>
      </c>
      <c r="J14" s="100">
        <v>1</v>
      </c>
    </row>
    <row r="15" spans="1:10" ht="14">
      <c r="A15" s="15"/>
      <c r="B15" s="15"/>
      <c r="C15" s="15"/>
      <c r="D15" s="15"/>
      <c r="F15" s="110"/>
      <c r="G15" s="112"/>
      <c r="H15" s="113"/>
      <c r="I15" s="112"/>
    </row>
    <row r="18" spans="1:5" ht="28">
      <c r="A18" s="82" t="s">
        <v>104</v>
      </c>
      <c r="B18" s="83" t="s">
        <v>105</v>
      </c>
      <c r="C18" s="83" t="s">
        <v>106</v>
      </c>
      <c r="D18" s="86" t="s">
        <v>46</v>
      </c>
      <c r="E18" s="115"/>
    </row>
    <row r="19" spans="1:5" ht="14">
      <c r="A19" s="121" t="s">
        <v>107</v>
      </c>
      <c r="B19" s="121">
        <v>1</v>
      </c>
      <c r="C19" s="123">
        <v>23250</v>
      </c>
      <c r="D19" s="124">
        <v>0.4</v>
      </c>
      <c r="E19" s="115"/>
    </row>
    <row r="20" spans="1:5" ht="14">
      <c r="A20" s="121" t="s">
        <v>110</v>
      </c>
      <c r="B20" s="121">
        <v>1</v>
      </c>
      <c r="C20" s="123">
        <v>16750</v>
      </c>
      <c r="D20" s="124">
        <v>0.4</v>
      </c>
      <c r="E20" s="115"/>
    </row>
    <row r="21" spans="1:5" ht="15.75" customHeight="1">
      <c r="A21" s="115" t="s">
        <v>111</v>
      </c>
      <c r="B21" s="115"/>
      <c r="C21" s="100">
        <f t="shared" ref="C21:D21" si="5">SUM(C19:C20)</f>
        <v>40000</v>
      </c>
      <c r="D21" s="100">
        <f t="shared" si="5"/>
        <v>0.8</v>
      </c>
      <c r="E21" s="115"/>
    </row>
    <row r="22" spans="1:5" ht="15.75" customHeight="1">
      <c r="D22" s="125"/>
    </row>
    <row r="23" spans="1:5" ht="15.75" customHeight="1">
      <c r="D23" s="125"/>
    </row>
    <row r="24" spans="1:5" ht="15.75" customHeight="1">
      <c r="A24" s="82" t="s">
        <v>112</v>
      </c>
      <c r="B24" s="83" t="s">
        <v>105</v>
      </c>
      <c r="C24" s="83" t="s">
        <v>106</v>
      </c>
      <c r="D24" s="88" t="s">
        <v>46</v>
      </c>
    </row>
    <row r="25" spans="1:5" ht="15.75" customHeight="1">
      <c r="A25" s="121" t="s">
        <v>113</v>
      </c>
      <c r="B25" s="121">
        <v>1</v>
      </c>
      <c r="C25" s="123">
        <v>32500</v>
      </c>
      <c r="D25" s="124">
        <v>0.5</v>
      </c>
      <c r="E25" s="115"/>
    </row>
    <row r="26" spans="1:5" ht="15.75" customHeight="1">
      <c r="E26" s="115"/>
    </row>
    <row r="27" spans="1:5" ht="15.75" customHeight="1">
      <c r="A27" s="121" t="s">
        <v>115</v>
      </c>
      <c r="B27" s="121">
        <v>1</v>
      </c>
      <c r="C27" s="123">
        <v>32500</v>
      </c>
      <c r="D27" s="124">
        <v>0.5</v>
      </c>
      <c r="E27" s="115"/>
    </row>
    <row r="28" spans="1:5" ht="15.75" customHeight="1">
      <c r="E28" s="115"/>
    </row>
    <row r="29" spans="1:5" ht="15.75" customHeight="1">
      <c r="A29" s="121" t="s">
        <v>116</v>
      </c>
      <c r="B29" s="121">
        <v>1</v>
      </c>
      <c r="C29" s="123">
        <v>56500</v>
      </c>
      <c r="D29" s="124">
        <v>0.5</v>
      </c>
      <c r="E29" s="115"/>
    </row>
    <row r="30" spans="1:5" ht="15.75" customHeight="1">
      <c r="A30" s="115"/>
      <c r="B30" s="115"/>
      <c r="C30" s="127"/>
      <c r="D30" s="115"/>
      <c r="E30" s="115"/>
    </row>
    <row r="31" spans="1:5" ht="15.75" customHeight="1">
      <c r="A31" s="115"/>
      <c r="B31" s="115"/>
      <c r="C31" s="128">
        <f t="shared" ref="C31:D31" si="6">SUM(C25:C29)</f>
        <v>121500</v>
      </c>
      <c r="D31" s="100">
        <f t="shared" si="6"/>
        <v>1.5</v>
      </c>
      <c r="E31" s="115"/>
    </row>
    <row r="32" spans="1:5" ht="15.75" customHeight="1">
      <c r="A32" s="115"/>
      <c r="B32" s="115"/>
      <c r="C32" s="115"/>
      <c r="D32" s="115"/>
      <c r="E32" s="115"/>
    </row>
    <row r="33" spans="1:2" ht="15.75" customHeight="1"/>
    <row r="34" spans="1:2" ht="15.75" customHeight="1">
      <c r="A34" s="15" t="s">
        <v>45</v>
      </c>
      <c r="B34" s="129">
        <f>+I10+I14+C21+C31</f>
        <v>207504.4</v>
      </c>
    </row>
    <row r="35" spans="1:2" ht="15.75" customHeight="1">
      <c r="A35" s="15" t="s">
        <v>121</v>
      </c>
      <c r="B35" s="125">
        <f>+B34*0.0922</f>
        <v>19131.90568</v>
      </c>
    </row>
    <row r="36" spans="1:2" ht="15.75" customHeight="1">
      <c r="A36" s="130" t="s">
        <v>123</v>
      </c>
      <c r="B36" s="131">
        <f>+B34*0.045</f>
        <v>9337.6979999999985</v>
      </c>
    </row>
    <row r="37" spans="1:2" ht="15.75" customHeight="1">
      <c r="A37" s="15" t="s">
        <v>125</v>
      </c>
      <c r="B37" s="125">
        <f>+B34*0.06</f>
        <v>12450.263999999999</v>
      </c>
    </row>
    <row r="38" spans="1:2" ht="15.75" customHeight="1">
      <c r="A38" s="15" t="s">
        <v>126</v>
      </c>
      <c r="B38" s="129">
        <f>+SUM(B35:B37)</f>
        <v>40919.867679999996</v>
      </c>
    </row>
    <row r="39" spans="1:2" ht="15.75" customHeight="1"/>
    <row r="40" spans="1:2" ht="15.75" customHeight="1"/>
    <row r="41" spans="1:2" ht="15.75" customHeight="1"/>
    <row r="42" spans="1:2" ht="15.75" customHeight="1"/>
    <row r="43" spans="1:2" ht="15.75" customHeight="1"/>
    <row r="44" spans="1:2" ht="15.75" customHeight="1"/>
    <row r="45" spans="1:2" ht="15.75" customHeight="1"/>
    <row r="46" spans="1:2" ht="15.75" customHeight="1"/>
    <row r="47" spans="1:2" ht="15.75" customHeight="1"/>
    <row r="48" spans="1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H1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00"/>
  <sheetViews>
    <sheetView tabSelected="1" workbookViewId="0"/>
  </sheetViews>
  <sheetFormatPr baseColWidth="10" defaultColWidth="12.5703125" defaultRowHeight="15" customHeight="1" x14ac:dyDescent="0"/>
  <cols>
    <col min="1" max="1" width="35.42578125" customWidth="1"/>
    <col min="2" max="2" width="9.42578125" customWidth="1"/>
    <col min="3" max="4" width="7.5703125" customWidth="1"/>
    <col min="5" max="5" width="10.140625" customWidth="1"/>
    <col min="6" max="26" width="7.5703125" customWidth="1"/>
  </cols>
  <sheetData>
    <row r="5" spans="1:5" ht="14">
      <c r="A5" s="115"/>
      <c r="B5" s="115"/>
      <c r="C5" s="115"/>
      <c r="D5" s="115"/>
      <c r="E5" s="115"/>
    </row>
    <row r="6" spans="1:5" ht="42">
      <c r="A6" s="115" t="s">
        <v>136</v>
      </c>
      <c r="B6" s="135" t="s">
        <v>137</v>
      </c>
      <c r="C6" s="135" t="s">
        <v>138</v>
      </c>
      <c r="D6" s="135" t="s">
        <v>139</v>
      </c>
      <c r="E6" s="135" t="s">
        <v>140</v>
      </c>
    </row>
    <row r="7" spans="1:5" ht="61.5" customHeight="1">
      <c r="A7" s="115" t="s">
        <v>141</v>
      </c>
      <c r="B7" s="127">
        <v>750</v>
      </c>
      <c r="C7" s="115">
        <v>4</v>
      </c>
      <c r="D7" s="115">
        <v>10</v>
      </c>
      <c r="E7" s="136">
        <f t="shared" ref="E7:E8" si="0">+B7*C7*D7</f>
        <v>30000</v>
      </c>
    </row>
    <row r="8" spans="1:5" ht="14">
      <c r="A8" s="1" t="s">
        <v>143</v>
      </c>
      <c r="B8" s="1">
        <v>1000</v>
      </c>
      <c r="C8" s="1">
        <v>6</v>
      </c>
      <c r="D8" s="1">
        <v>10</v>
      </c>
      <c r="E8" s="136">
        <f t="shared" si="0"/>
        <v>60000</v>
      </c>
    </row>
    <row r="9" spans="1:5" ht="14">
      <c r="E9" s="137"/>
    </row>
    <row r="10" spans="1:5" ht="42">
      <c r="A10" s="115" t="s">
        <v>145</v>
      </c>
      <c r="B10" s="135" t="s">
        <v>146</v>
      </c>
      <c r="C10" s="135" t="s">
        <v>147</v>
      </c>
      <c r="D10" s="135" t="s">
        <v>148</v>
      </c>
      <c r="E10" s="138" t="s">
        <v>149</v>
      </c>
    </row>
    <row r="11" spans="1:5" ht="14">
      <c r="A11" s="115" t="s">
        <v>151</v>
      </c>
      <c r="B11" s="1">
        <v>100</v>
      </c>
      <c r="C11" s="1">
        <v>10</v>
      </c>
      <c r="D11" s="1">
        <v>16</v>
      </c>
      <c r="E11" s="137">
        <f>+B11*C11*D11</f>
        <v>16000</v>
      </c>
    </row>
    <row r="12" spans="1:5" ht="14">
      <c r="E12" s="137"/>
    </row>
    <row r="13" spans="1:5" ht="14">
      <c r="A13" s="1" t="s">
        <v>152</v>
      </c>
      <c r="B13" s="1">
        <v>50</v>
      </c>
      <c r="C13" s="1">
        <v>10</v>
      </c>
      <c r="D13" s="1">
        <v>16</v>
      </c>
      <c r="E13" s="137">
        <f>+B13*C13*D13</f>
        <v>8000</v>
      </c>
    </row>
    <row r="14" spans="1:5" ht="14">
      <c r="E14" s="137"/>
    </row>
    <row r="15" spans="1:5" ht="14">
      <c r="A15" s="1" t="s">
        <v>135</v>
      </c>
      <c r="E15" s="137">
        <v>7500</v>
      </c>
    </row>
    <row r="16" spans="1:5" ht="14">
      <c r="E16" s="137"/>
    </row>
    <row r="17" spans="1:6" ht="14">
      <c r="A17" s="1" t="s">
        <v>153</v>
      </c>
      <c r="E17" s="137"/>
    </row>
    <row r="18" spans="1:6" ht="44.25" customHeight="1">
      <c r="A18" s="139" t="s">
        <v>154</v>
      </c>
      <c r="B18" s="139"/>
      <c r="C18" s="139"/>
      <c r="D18" s="139"/>
      <c r="E18" s="140">
        <v>6000</v>
      </c>
      <c r="F18" s="139"/>
    </row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BD25B815A5C4FB38E03EC6A1B5AC5" ma:contentTypeVersion="8" ma:contentTypeDescription="Create a new document." ma:contentTypeScope="" ma:versionID="ac0692e01c3f7feaf988f386497eee85">
  <xsd:schema xmlns:xsd="http://www.w3.org/2001/XMLSchema" xmlns:xs="http://www.w3.org/2001/XMLSchema" xmlns:p="http://schemas.microsoft.com/office/2006/metadata/properties" xmlns:ns2="4ae92910-3481-4e7c-9f32-97a847133cae" targetNamespace="http://schemas.microsoft.com/office/2006/metadata/properties" ma:root="true" ma:fieldsID="8792b35d68cbfaca38f3ed2b244839d7" ns2:_="">
    <xsd:import namespace="4ae92910-3481-4e7c-9f32-97a847133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92910-3481-4e7c-9f32-97a847133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6469DA-99AD-43C2-9CFD-18E4A40A5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e92910-3481-4e7c-9f32-97a847133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29173-3E83-4EAA-8F12-0272714CB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3D5B2B-63B6-4AC3-B545-15E90B649C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Report </vt:lpstr>
      <vt:lpstr>TPA - targets</vt:lpstr>
      <vt:lpstr>TPA - estimates ADE</vt:lpstr>
      <vt:lpstr>Classroom instructors</vt:lpstr>
      <vt:lpstr>Other Salaries</vt:lpstr>
      <vt:lpstr>Other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Mardikian, Mourad (MCI)</dc:creator>
  <cp:lastModifiedBy>Brittany Howlett</cp:lastModifiedBy>
  <dcterms:created xsi:type="dcterms:W3CDTF">2019-01-28T16:06:14Z</dcterms:created>
  <dcterms:modified xsi:type="dcterms:W3CDTF">2020-10-08T19:30:26Z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Mourad.Mardikian@ontario.ca</vt:lpwstr>
  </property>
  <property fmtid="{D5CDD505-2E9C-101B-9397-08002B2CF9AE}" pid="5" name="MSIP_Label_034a106e-6316-442c-ad35-738afd673d2b_SetDate">
    <vt:lpwstr>2019-01-28T16:19:41.5182553Z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  <property fmtid="{D5CDD505-2E9C-101B-9397-08002B2CF9AE}" pid="10" name="ContentTypeId">
    <vt:lpwstr>0x01010071CBD25B815A5C4FB38E03EC6A1B5AC5</vt:lpwstr>
  </property>
</Properties>
</file>